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ndy\Documents\"/>
    </mc:Choice>
  </mc:AlternateContent>
  <bookViews>
    <workbookView xWindow="0" yWindow="0" windowWidth="23040" windowHeight="8616" tabRatio="808" activeTab="1"/>
  </bookViews>
  <sheets>
    <sheet name="SUMMARY" sheetId="3" r:id="rId1"/>
    <sheet name="REPORT" sheetId="14" r:id="rId2"/>
    <sheet name="EOY Bal Chart" sheetId="8" r:id="rId3"/>
    <sheet name="Rev Exp Charts" sheetId="11" r:id="rId4"/>
    <sheet name="REVENUE" sheetId="1" r:id="rId5"/>
    <sheet name="EXPENDITURES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4" l="1"/>
  <c r="H26" i="14" s="1"/>
  <c r="I26" i="14" s="1"/>
  <c r="J26" i="14" s="1"/>
  <c r="F26" i="14"/>
  <c r="I25" i="14"/>
  <c r="H25" i="14"/>
  <c r="G25" i="14"/>
  <c r="J20" i="14"/>
  <c r="J25" i="14" s="1"/>
  <c r="I20" i="14"/>
  <c r="H20" i="14"/>
  <c r="G20" i="14"/>
  <c r="E28" i="14"/>
  <c r="E27" i="14"/>
  <c r="F20" i="14"/>
  <c r="F25" i="14" s="1"/>
  <c r="F27" i="14" l="1"/>
  <c r="F28" i="14" s="1"/>
  <c r="G27" i="14" l="1"/>
  <c r="G28" i="14" s="1"/>
  <c r="H27" i="14" l="1"/>
  <c r="H28" i="14" s="1"/>
  <c r="J27" i="14" l="1"/>
  <c r="J28" i="14" s="1"/>
  <c r="I27" i="14"/>
  <c r="I28" i="14" s="1"/>
  <c r="J49" i="4" l="1"/>
  <c r="J48" i="4"/>
  <c r="J29" i="4"/>
  <c r="J28" i="4"/>
  <c r="J27" i="4"/>
  <c r="J24" i="4"/>
  <c r="J6" i="14" l="1"/>
  <c r="O58" i="3"/>
  <c r="O52" i="3"/>
  <c r="O46" i="3" s="1"/>
  <c r="O64" i="3" s="1"/>
  <c r="O51" i="3"/>
  <c r="O47" i="3"/>
  <c r="O17" i="3"/>
  <c r="J13" i="14" s="1"/>
  <c r="O16" i="3"/>
  <c r="J12" i="14" s="1"/>
  <c r="O15" i="3"/>
  <c r="J11" i="14" s="1"/>
  <c r="O14" i="3"/>
  <c r="J10" i="14" s="1"/>
  <c r="O13" i="3"/>
  <c r="O18" i="3" s="1"/>
  <c r="J8" i="14" s="1"/>
  <c r="O7" i="3"/>
  <c r="O6" i="3"/>
  <c r="O4" i="3"/>
  <c r="J4" i="14" s="1"/>
  <c r="Q59" i="4"/>
  <c r="Q66" i="4" s="1"/>
  <c r="Q58" i="4"/>
  <c r="Q57" i="4"/>
  <c r="Q54" i="4"/>
  <c r="Q53" i="4"/>
  <c r="Q52" i="4"/>
  <c r="Q51" i="4"/>
  <c r="Q50" i="4"/>
  <c r="Q55" i="4" s="1"/>
  <c r="Q49" i="4"/>
  <c r="Q48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46" i="4" s="1"/>
  <c r="Q24" i="4"/>
  <c r="Q23" i="4"/>
  <c r="Q19" i="4"/>
  <c r="Q18" i="4"/>
  <c r="Q17" i="4"/>
  <c r="Q16" i="4"/>
  <c r="Q15" i="4"/>
  <c r="Q21" i="4" s="1"/>
  <c r="Q14" i="4"/>
  <c r="Q13" i="4"/>
  <c r="Q10" i="4"/>
  <c r="Q9" i="4"/>
  <c r="Q8" i="4"/>
  <c r="Q7" i="4"/>
  <c r="Q6" i="4"/>
  <c r="Q5" i="4"/>
  <c r="Q4" i="4"/>
  <c r="Q3" i="4"/>
  <c r="Q11" i="4" s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51" i="1" s="1"/>
  <c r="X26" i="1"/>
  <c r="O5" i="3" s="1"/>
  <c r="J5" i="14" s="1"/>
  <c r="X25" i="1"/>
  <c r="X24" i="1"/>
  <c r="X22" i="1"/>
  <c r="X20" i="1"/>
  <c r="X19" i="1"/>
  <c r="X17" i="1"/>
  <c r="X12" i="1"/>
  <c r="X11" i="1"/>
  <c r="X10" i="1"/>
  <c r="X9" i="1"/>
  <c r="X8" i="1"/>
  <c r="X7" i="1"/>
  <c r="X5" i="1"/>
  <c r="X4" i="1"/>
  <c r="X13" i="1" s="1"/>
  <c r="I52" i="3"/>
  <c r="H52" i="3"/>
  <c r="I58" i="3"/>
  <c r="J9" i="14" l="1"/>
  <c r="O8" i="3"/>
  <c r="J3" i="14" s="1"/>
  <c r="Q68" i="4"/>
  <c r="X53" i="1"/>
  <c r="O45" i="3" s="1"/>
  <c r="O63" i="3" s="1"/>
  <c r="O20" i="3" l="1"/>
  <c r="O21" i="3" s="1"/>
  <c r="V49" i="1"/>
  <c r="W49" i="1" s="1"/>
  <c r="S49" i="1"/>
  <c r="S48" i="1"/>
  <c r="V48" i="1" s="1"/>
  <c r="W48" i="1" s="1"/>
  <c r="S47" i="1"/>
  <c r="V47" i="1" s="1"/>
  <c r="W47" i="1" s="1"/>
  <c r="S46" i="1"/>
  <c r="V46" i="1" s="1"/>
  <c r="W46" i="1" s="1"/>
  <c r="V45" i="1"/>
  <c r="W45" i="1" s="1"/>
  <c r="S45" i="1"/>
  <c r="S44" i="1"/>
  <c r="V44" i="1" s="1"/>
  <c r="W44" i="1" s="1"/>
  <c r="S43" i="1"/>
  <c r="V43" i="1" s="1"/>
  <c r="W43" i="1" s="1"/>
  <c r="S42" i="1"/>
  <c r="V42" i="1" s="1"/>
  <c r="W42" i="1" s="1"/>
  <c r="V41" i="1"/>
  <c r="W41" i="1" s="1"/>
  <c r="S41" i="1"/>
  <c r="S40" i="1"/>
  <c r="V40" i="1" s="1"/>
  <c r="W40" i="1" s="1"/>
  <c r="S39" i="1"/>
  <c r="V39" i="1" s="1"/>
  <c r="W39" i="1" s="1"/>
  <c r="W38" i="1"/>
  <c r="V38" i="1"/>
  <c r="S38" i="1"/>
  <c r="V37" i="1"/>
  <c r="W37" i="1" s="1"/>
  <c r="S37" i="1"/>
  <c r="S36" i="1"/>
  <c r="V36" i="1" s="1"/>
  <c r="W36" i="1" s="1"/>
  <c r="S35" i="1"/>
  <c r="V35" i="1" s="1"/>
  <c r="W35" i="1" s="1"/>
  <c r="S34" i="1"/>
  <c r="V34" i="1" s="1"/>
  <c r="W34" i="1" s="1"/>
  <c r="V33" i="1"/>
  <c r="W33" i="1" s="1"/>
  <c r="S33" i="1"/>
  <c r="S32" i="1"/>
  <c r="V32" i="1" s="1"/>
  <c r="W32" i="1" s="1"/>
  <c r="S31" i="1"/>
  <c r="V31" i="1" s="1"/>
  <c r="W31" i="1" s="1"/>
  <c r="S30" i="1"/>
  <c r="V30" i="1" s="1"/>
  <c r="W30" i="1" s="1"/>
  <c r="V29" i="1"/>
  <c r="W29" i="1" s="1"/>
  <c r="S29" i="1"/>
  <c r="W28" i="1"/>
  <c r="V28" i="1"/>
  <c r="S28" i="1"/>
  <c r="W24" i="1"/>
  <c r="V24" i="1"/>
  <c r="S24" i="1"/>
  <c r="W22" i="1"/>
  <c r="V22" i="1"/>
  <c r="S22" i="1"/>
  <c r="S17" i="1"/>
  <c r="V17" i="1" s="1"/>
  <c r="W17" i="1" s="1"/>
  <c r="S5" i="1" l="1"/>
  <c r="V5" i="1" s="1"/>
  <c r="W5" i="1" s="1"/>
  <c r="S4" i="1"/>
  <c r="V4" i="1" s="1"/>
  <c r="W4" i="1" s="1"/>
  <c r="O30" i="1" l="1"/>
  <c r="H47" i="3" l="1"/>
  <c r="I47" i="3" l="1"/>
  <c r="H57" i="3"/>
  <c r="C62" i="3"/>
  <c r="D23" i="4" l="1"/>
  <c r="I40" i="1"/>
  <c r="H45" i="1"/>
  <c r="H44" i="1"/>
  <c r="H43" i="1"/>
  <c r="H42" i="1"/>
  <c r="H40" i="1"/>
  <c r="N47" i="3" l="1"/>
  <c r="M47" i="3"/>
  <c r="L47" i="3"/>
  <c r="K47" i="3"/>
  <c r="S10" i="1" l="1"/>
  <c r="V10" i="1" s="1"/>
  <c r="W10" i="1" s="1"/>
  <c r="N51" i="3" l="1"/>
  <c r="M51" i="3"/>
  <c r="N7" i="3"/>
  <c r="T15" i="1" l="1"/>
  <c r="T17" i="1"/>
  <c r="W25" i="1"/>
  <c r="V25" i="1"/>
  <c r="W20" i="1"/>
  <c r="W9" i="1"/>
  <c r="V9" i="1"/>
  <c r="M7" i="3"/>
  <c r="N53" i="4" l="1"/>
  <c r="O53" i="4" s="1"/>
  <c r="P53" i="4" s="1"/>
  <c r="N25" i="4"/>
  <c r="O25" i="4" s="1"/>
  <c r="P25" i="4" s="1"/>
  <c r="S7" i="1"/>
  <c r="V7" i="1" s="1"/>
  <c r="W7" i="1" s="1"/>
  <c r="W51" i="1" l="1"/>
  <c r="N6" i="3" s="1"/>
  <c r="I6" i="14" s="1"/>
  <c r="V51" i="1"/>
  <c r="M6" i="3" s="1"/>
  <c r="H6" i="14" s="1"/>
  <c r="O51" i="1" l="1"/>
  <c r="L7" i="3" l="1"/>
  <c r="N57" i="4" l="1"/>
  <c r="O57" i="4" s="1"/>
  <c r="P57" i="4" s="1"/>
  <c r="S25" i="1" l="1"/>
  <c r="S20" i="1"/>
  <c r="S9" i="1"/>
  <c r="S19" i="1" l="1"/>
  <c r="V19" i="1" s="1"/>
  <c r="W19" i="1" l="1"/>
  <c r="W26" i="1" s="1"/>
  <c r="S26" i="1"/>
  <c r="L5" i="3" s="1"/>
  <c r="G5" i="14" s="1"/>
  <c r="N5" i="3" l="1"/>
  <c r="I5" i="14" s="1"/>
  <c r="N23" i="4"/>
  <c r="O23" i="4" s="1"/>
  <c r="P23" i="4" l="1"/>
  <c r="N52" i="4"/>
  <c r="O52" i="4" s="1"/>
  <c r="P52" i="4" s="1"/>
  <c r="N35" i="4"/>
  <c r="O35" i="4" s="1"/>
  <c r="P35" i="4" s="1"/>
  <c r="N29" i="4"/>
  <c r="O29" i="4" s="1"/>
  <c r="P29" i="4" s="1"/>
  <c r="N51" i="1" l="1"/>
  <c r="C7" i="3" l="1"/>
  <c r="I51" i="1"/>
  <c r="C6" i="3" s="1"/>
  <c r="I26" i="1"/>
  <c r="C5" i="3" s="1"/>
  <c r="C5" i="14" s="1"/>
  <c r="I13" i="1"/>
  <c r="C4" i="3" s="1"/>
  <c r="C4" i="14" s="1"/>
  <c r="C6" i="14" l="1"/>
  <c r="E21" i="4"/>
  <c r="C14" i="3" s="1"/>
  <c r="C10" i="14" s="1"/>
  <c r="C8" i="3"/>
  <c r="C3" i="14" s="1"/>
  <c r="I53" i="1"/>
  <c r="C63" i="3" s="1"/>
  <c r="E66" i="4"/>
  <c r="C17" i="3" s="1"/>
  <c r="C13" i="14" s="1"/>
  <c r="E55" i="4"/>
  <c r="C16" i="3" s="1"/>
  <c r="C12" i="14" s="1"/>
  <c r="E46" i="4"/>
  <c r="C15" i="3" s="1"/>
  <c r="C11" i="14" s="1"/>
  <c r="E11" i="4"/>
  <c r="C13" i="3" s="1"/>
  <c r="C9" i="14" s="1"/>
  <c r="E68" i="4" l="1"/>
  <c r="C18" i="3" s="1"/>
  <c r="C20" i="3" l="1"/>
  <c r="C21" i="3" s="1"/>
  <c r="C8" i="14"/>
  <c r="C64" i="3"/>
  <c r="N37" i="4" l="1"/>
  <c r="O37" i="4" s="1"/>
  <c r="P37" i="4" s="1"/>
  <c r="I57" i="3" l="1"/>
  <c r="K7" i="3" l="1"/>
  <c r="V20" i="1"/>
  <c r="S12" i="1"/>
  <c r="V12" i="1" s="1"/>
  <c r="W12" i="1" s="1"/>
  <c r="S11" i="1"/>
  <c r="V11" i="1" s="1"/>
  <c r="W11" i="1" s="1"/>
  <c r="S8" i="1"/>
  <c r="V8" i="1" s="1"/>
  <c r="W8" i="1" s="1"/>
  <c r="L51" i="3"/>
  <c r="V26" i="1" l="1"/>
  <c r="M5" i="3" s="1"/>
  <c r="H5" i="14" s="1"/>
  <c r="W13" i="1"/>
  <c r="V13" i="1"/>
  <c r="M4" i="3" s="1"/>
  <c r="H4" i="14" s="1"/>
  <c r="S13" i="1"/>
  <c r="L4" i="3" s="1"/>
  <c r="G4" i="14" s="1"/>
  <c r="S51" i="1"/>
  <c r="L6" i="3" s="1"/>
  <c r="G6" i="14" s="1"/>
  <c r="K51" i="3"/>
  <c r="R51" i="1"/>
  <c r="K6" i="3" s="1"/>
  <c r="R13" i="1"/>
  <c r="K4" i="3" s="1"/>
  <c r="G41" i="4"/>
  <c r="H41" i="4"/>
  <c r="N41" i="4"/>
  <c r="O41" i="4" s="1"/>
  <c r="P41" i="4" s="1"/>
  <c r="F6" i="14" l="1"/>
  <c r="F4" i="14"/>
  <c r="M8" i="3"/>
  <c r="H3" i="14" s="1"/>
  <c r="V53" i="1"/>
  <c r="M45" i="3" s="1"/>
  <c r="M63" i="3" s="1"/>
  <c r="N4" i="3"/>
  <c r="W53" i="1"/>
  <c r="N45" i="3" s="1"/>
  <c r="N63" i="3" s="1"/>
  <c r="L8" i="3"/>
  <c r="G3" i="14" s="1"/>
  <c r="S53" i="1"/>
  <c r="L45" i="3" s="1"/>
  <c r="L63" i="3" s="1"/>
  <c r="N33" i="4"/>
  <c r="O33" i="4" s="1"/>
  <c r="P33" i="4" s="1"/>
  <c r="H33" i="4"/>
  <c r="G33" i="4"/>
  <c r="N59" i="4"/>
  <c r="O59" i="4" s="1"/>
  <c r="H59" i="4"/>
  <c r="G59" i="4"/>
  <c r="E52" i="3"/>
  <c r="N8" i="3" l="1"/>
  <c r="I3" i="14" s="1"/>
  <c r="I4" i="14"/>
  <c r="P59" i="4"/>
  <c r="I51" i="3"/>
  <c r="H51" i="3"/>
  <c r="F51" i="3"/>
  <c r="E51" i="3"/>
  <c r="B65" i="3" l="1"/>
  <c r="B64" i="3"/>
  <c r="B63" i="3"/>
  <c r="B62" i="3"/>
  <c r="B60" i="3"/>
  <c r="C56" i="3" s="1"/>
  <c r="C60" i="3" s="1"/>
  <c r="B54" i="3"/>
  <c r="B48" i="3"/>
  <c r="C48" i="3" s="1"/>
  <c r="F58" i="3"/>
  <c r="E58" i="3"/>
  <c r="G44" i="3" l="1"/>
  <c r="H44" i="3"/>
  <c r="I44" i="3"/>
  <c r="E50" i="3"/>
  <c r="E54" i="3" s="1"/>
  <c r="C50" i="3"/>
  <c r="C54" i="3" s="1"/>
  <c r="H56" i="3"/>
  <c r="G56" i="3"/>
  <c r="G60" i="3" s="1"/>
  <c r="I56" i="3"/>
  <c r="B66" i="3"/>
  <c r="E56" i="3"/>
  <c r="E60" i="3" s="1"/>
  <c r="F50" i="3"/>
  <c r="B68" i="3"/>
  <c r="B36" i="8" s="1"/>
  <c r="E44" i="3"/>
  <c r="F44" i="3"/>
  <c r="F56" i="3"/>
  <c r="F60" i="3" s="1"/>
  <c r="H17" i="4"/>
  <c r="G17" i="4"/>
  <c r="H16" i="4"/>
  <c r="G16" i="4"/>
  <c r="H15" i="4"/>
  <c r="G15" i="4"/>
  <c r="H14" i="4"/>
  <c r="G14" i="4"/>
  <c r="N24" i="4"/>
  <c r="O24" i="4" s="1"/>
  <c r="H24" i="4"/>
  <c r="G24" i="4"/>
  <c r="C66" i="3" l="1"/>
  <c r="C15" i="14" s="1"/>
  <c r="B15" i="14"/>
  <c r="F62" i="3"/>
  <c r="B16" i="14"/>
  <c r="P24" i="4"/>
  <c r="I60" i="3"/>
  <c r="K56" i="3" s="1"/>
  <c r="I50" i="3"/>
  <c r="G50" i="3"/>
  <c r="G54" i="3" s="1"/>
  <c r="H50" i="3"/>
  <c r="E62" i="3"/>
  <c r="C68" i="3"/>
  <c r="B37" i="8" s="1"/>
  <c r="N50" i="4"/>
  <c r="O50" i="4" s="1"/>
  <c r="P50" i="4" s="1"/>
  <c r="H50" i="4"/>
  <c r="G50" i="4"/>
  <c r="C16" i="14" l="1"/>
  <c r="I62" i="3"/>
  <c r="H62" i="3"/>
  <c r="G62" i="3"/>
  <c r="H28" i="4"/>
  <c r="G28" i="4"/>
  <c r="H8" i="4"/>
  <c r="G8" i="4"/>
  <c r="G13" i="4" l="1"/>
  <c r="H13" i="4" l="1"/>
  <c r="H65" i="4" l="1"/>
  <c r="G65" i="4"/>
  <c r="H62" i="4"/>
  <c r="G62" i="4"/>
  <c r="H23" i="4" l="1"/>
  <c r="G23" i="4"/>
  <c r="N28" i="4" l="1"/>
  <c r="O28" i="4" s="1"/>
  <c r="P28" i="4" s="1"/>
  <c r="I7" i="3"/>
  <c r="H7" i="3"/>
  <c r="G7" i="3"/>
  <c r="F7" i="3"/>
  <c r="E7" i="3"/>
  <c r="B7" i="3"/>
  <c r="H64" i="4" l="1"/>
  <c r="G64" i="4"/>
  <c r="H63" i="4"/>
  <c r="G63" i="4"/>
  <c r="N5" i="4" l="1"/>
  <c r="O5" i="4" s="1"/>
  <c r="P5" i="4" s="1"/>
  <c r="N8" i="4"/>
  <c r="O8" i="4" s="1"/>
  <c r="P8" i="4" s="1"/>
  <c r="H54" i="3" l="1"/>
  <c r="N17" i="4" l="1"/>
  <c r="O17" i="4" s="1"/>
  <c r="P17" i="4" s="1"/>
  <c r="I6" i="3" l="1"/>
  <c r="E6" i="14" s="1"/>
  <c r="O13" i="1"/>
  <c r="I4" i="3" s="1"/>
  <c r="E4" i="14" s="1"/>
  <c r="N54" i="4"/>
  <c r="O54" i="4" s="1"/>
  <c r="P54" i="4" s="1"/>
  <c r="N51" i="4"/>
  <c r="O51" i="4" s="1"/>
  <c r="P51" i="4" s="1"/>
  <c r="N49" i="4"/>
  <c r="N48" i="4"/>
  <c r="O48" i="4" s="1"/>
  <c r="N45" i="4"/>
  <c r="O45" i="4" s="1"/>
  <c r="P45" i="4" s="1"/>
  <c r="N44" i="4"/>
  <c r="O44" i="4" s="1"/>
  <c r="P44" i="4" s="1"/>
  <c r="N43" i="4"/>
  <c r="O43" i="4" s="1"/>
  <c r="P43" i="4" s="1"/>
  <c r="N42" i="4"/>
  <c r="O42" i="4" s="1"/>
  <c r="P42" i="4" s="1"/>
  <c r="N40" i="4"/>
  <c r="O40" i="4" s="1"/>
  <c r="P40" i="4" s="1"/>
  <c r="N39" i="4"/>
  <c r="O39" i="4" s="1"/>
  <c r="P39" i="4" s="1"/>
  <c r="N38" i="4"/>
  <c r="O38" i="4" s="1"/>
  <c r="P38" i="4" s="1"/>
  <c r="N36" i="4"/>
  <c r="O36" i="4" s="1"/>
  <c r="P36" i="4" s="1"/>
  <c r="N31" i="4"/>
  <c r="O31" i="4" s="1"/>
  <c r="P31" i="4" s="1"/>
  <c r="N34" i="4"/>
  <c r="O34" i="4" s="1"/>
  <c r="P34" i="4" s="1"/>
  <c r="N32" i="4"/>
  <c r="O32" i="4" s="1"/>
  <c r="P32" i="4" s="1"/>
  <c r="N30" i="4"/>
  <c r="O30" i="4" s="1"/>
  <c r="P30" i="4" s="1"/>
  <c r="N27" i="4"/>
  <c r="O27" i="4" s="1"/>
  <c r="P27" i="4" s="1"/>
  <c r="N26" i="4"/>
  <c r="O26" i="4" s="1"/>
  <c r="N19" i="4"/>
  <c r="O19" i="4" s="1"/>
  <c r="P19" i="4" s="1"/>
  <c r="N18" i="4"/>
  <c r="O18" i="4" s="1"/>
  <c r="P18" i="4" s="1"/>
  <c r="N10" i="4"/>
  <c r="O10" i="4" s="1"/>
  <c r="P10" i="4" s="1"/>
  <c r="O49" i="4" l="1"/>
  <c r="P49" i="4" s="1"/>
  <c r="P48" i="4"/>
  <c r="P26" i="4"/>
  <c r="P46" i="4" s="1"/>
  <c r="N15" i="3" s="1"/>
  <c r="I11" i="14" s="1"/>
  <c r="O46" i="4"/>
  <c r="M15" i="3" s="1"/>
  <c r="H11" i="14" s="1"/>
  <c r="N6" i="4"/>
  <c r="O6" i="4" s="1"/>
  <c r="P6" i="4" s="1"/>
  <c r="N9" i="4"/>
  <c r="O9" i="4" s="1"/>
  <c r="P9" i="4" s="1"/>
  <c r="N3" i="4"/>
  <c r="K66" i="4"/>
  <c r="I17" i="3" s="1"/>
  <c r="E13" i="14" s="1"/>
  <c r="K11" i="4"/>
  <c r="I13" i="3" s="1"/>
  <c r="E9" i="14" s="1"/>
  <c r="K46" i="4"/>
  <c r="I15" i="3" s="1"/>
  <c r="E11" i="14" s="1"/>
  <c r="K55" i="4"/>
  <c r="I16" i="3" s="1"/>
  <c r="E12" i="14" s="1"/>
  <c r="P55" i="4" l="1"/>
  <c r="N16" i="3" s="1"/>
  <c r="I12" i="14" s="1"/>
  <c r="O55" i="4"/>
  <c r="M16" i="3" s="1"/>
  <c r="H12" i="14" s="1"/>
  <c r="N4" i="4"/>
  <c r="O4" i="4" s="1"/>
  <c r="P4" i="4" s="1"/>
  <c r="O3" i="4"/>
  <c r="N13" i="4"/>
  <c r="O13" i="4" s="1"/>
  <c r="P13" i="4" s="1"/>
  <c r="N7" i="4"/>
  <c r="O7" i="4" s="1"/>
  <c r="P7" i="4" s="1"/>
  <c r="N14" i="4"/>
  <c r="O14" i="4" s="1"/>
  <c r="P14" i="4" s="1"/>
  <c r="N46" i="4"/>
  <c r="L15" i="3" s="1"/>
  <c r="G11" i="14" s="1"/>
  <c r="M55" i="4"/>
  <c r="K16" i="3" s="1"/>
  <c r="F12" i="14" s="1"/>
  <c r="N55" i="4"/>
  <c r="L16" i="3" s="1"/>
  <c r="G12" i="14" s="1"/>
  <c r="M66" i="4"/>
  <c r="K17" i="3" s="1"/>
  <c r="F13" i="14" s="1"/>
  <c r="N58" i="4"/>
  <c r="I54" i="3"/>
  <c r="K50" i="3" s="1"/>
  <c r="P3" i="4" l="1"/>
  <c r="P11" i="4" s="1"/>
  <c r="N66" i="4"/>
  <c r="L17" i="3" s="1"/>
  <c r="G13" i="14" s="1"/>
  <c r="O58" i="4"/>
  <c r="N11" i="4"/>
  <c r="L13" i="3" s="1"/>
  <c r="G9" i="14" s="1"/>
  <c r="O11" i="4"/>
  <c r="M13" i="3" s="1"/>
  <c r="H9" i="14" s="1"/>
  <c r="M11" i="4"/>
  <c r="K13" i="3" s="1"/>
  <c r="M46" i="4"/>
  <c r="K15" i="3" s="1"/>
  <c r="F11" i="14" s="1"/>
  <c r="K58" i="3"/>
  <c r="K60" i="3" s="1"/>
  <c r="L56" i="3" s="1"/>
  <c r="K21" i="4"/>
  <c r="F9" i="14" l="1"/>
  <c r="K52" i="3"/>
  <c r="L58" i="3"/>
  <c r="L60" i="3" s="1"/>
  <c r="M56" i="3" s="1"/>
  <c r="P58" i="4"/>
  <c r="P66" i="4" s="1"/>
  <c r="O66" i="4"/>
  <c r="N13" i="3"/>
  <c r="I9" i="14" s="1"/>
  <c r="K68" i="4"/>
  <c r="I14" i="3"/>
  <c r="E10" i="14" s="1"/>
  <c r="N16" i="4" l="1"/>
  <c r="O16" i="4" s="1"/>
  <c r="P16" i="4" s="1"/>
  <c r="M58" i="3"/>
  <c r="M60" i="3" s="1"/>
  <c r="N56" i="3" s="1"/>
  <c r="M17" i="3"/>
  <c r="H13" i="14" s="1"/>
  <c r="N58" i="3"/>
  <c r="N17" i="3"/>
  <c r="I13" i="14" s="1"/>
  <c r="M21" i="4"/>
  <c r="K14" i="3" s="1"/>
  <c r="N15" i="4"/>
  <c r="I18" i="3"/>
  <c r="I46" i="3"/>
  <c r="I64" i="3" s="1"/>
  <c r="K54" i="3"/>
  <c r="L50" i="3" s="1"/>
  <c r="H61" i="4"/>
  <c r="G61" i="4"/>
  <c r="H60" i="4"/>
  <c r="G60" i="4"/>
  <c r="H58" i="4"/>
  <c r="G58" i="4"/>
  <c r="H57" i="4"/>
  <c r="G57" i="4"/>
  <c r="H51" i="4"/>
  <c r="G51" i="4"/>
  <c r="H54" i="4"/>
  <c r="G54" i="4"/>
  <c r="H52" i="4"/>
  <c r="G52" i="4"/>
  <c r="H49" i="4"/>
  <c r="G49" i="4"/>
  <c r="H48" i="4"/>
  <c r="G48" i="4"/>
  <c r="H45" i="4"/>
  <c r="G45" i="4"/>
  <c r="H44" i="4"/>
  <c r="G44" i="4"/>
  <c r="H43" i="4"/>
  <c r="G43" i="4"/>
  <c r="H42" i="4"/>
  <c r="G42" i="4"/>
  <c r="H40" i="4"/>
  <c r="G40" i="4"/>
  <c r="H39" i="4"/>
  <c r="G39" i="4"/>
  <c r="H38" i="4"/>
  <c r="G38" i="4"/>
  <c r="H37" i="4"/>
  <c r="G37" i="4"/>
  <c r="H35" i="4"/>
  <c r="G35" i="4"/>
  <c r="H36" i="4"/>
  <c r="G36" i="4"/>
  <c r="H31" i="4"/>
  <c r="G31" i="4"/>
  <c r="H34" i="4"/>
  <c r="G34" i="4"/>
  <c r="H32" i="4"/>
  <c r="G32" i="4"/>
  <c r="H30" i="4"/>
  <c r="G30" i="4"/>
  <c r="H29" i="4"/>
  <c r="G29" i="4"/>
  <c r="H27" i="4"/>
  <c r="G27" i="4"/>
  <c r="H26" i="4"/>
  <c r="G26" i="4"/>
  <c r="H19" i="4"/>
  <c r="G19" i="4"/>
  <c r="H18" i="4"/>
  <c r="G18" i="4"/>
  <c r="H10" i="4"/>
  <c r="G10" i="4"/>
  <c r="H9" i="4"/>
  <c r="G9" i="4"/>
  <c r="H7" i="4"/>
  <c r="G7" i="4"/>
  <c r="H6" i="4"/>
  <c r="G6" i="4"/>
  <c r="H5" i="4"/>
  <c r="G5" i="4"/>
  <c r="H4" i="4"/>
  <c r="G4" i="4"/>
  <c r="G3" i="4"/>
  <c r="L52" i="3" l="1"/>
  <c r="L54" i="3" s="1"/>
  <c r="M50" i="3" s="1"/>
  <c r="O15" i="4"/>
  <c r="M52" i="3" s="1"/>
  <c r="N60" i="3"/>
  <c r="O56" i="3" s="1"/>
  <c r="O60" i="3" s="1"/>
  <c r="E8" i="14"/>
  <c r="K18" i="3"/>
  <c r="F10" i="14"/>
  <c r="N21" i="4"/>
  <c r="N68" i="4" s="1"/>
  <c r="M68" i="4"/>
  <c r="K46" i="3" s="1"/>
  <c r="K64" i="3" s="1"/>
  <c r="D21" i="4"/>
  <c r="B14" i="3" s="1"/>
  <c r="B10" i="14" s="1"/>
  <c r="I21" i="4"/>
  <c r="G14" i="3" s="1"/>
  <c r="J21" i="4"/>
  <c r="H14" i="3" s="1"/>
  <c r="D10" i="14" s="1"/>
  <c r="O26" i="1"/>
  <c r="I66" i="4"/>
  <c r="G17" i="3" s="1"/>
  <c r="D66" i="4"/>
  <c r="B17" i="3" s="1"/>
  <c r="B13" i="14" s="1"/>
  <c r="G66" i="4"/>
  <c r="H66" i="4"/>
  <c r="J66" i="4"/>
  <c r="G55" i="4"/>
  <c r="D55" i="4"/>
  <c r="B16" i="3" s="1"/>
  <c r="H55" i="4"/>
  <c r="J55" i="4"/>
  <c r="H16" i="3" s="1"/>
  <c r="D12" i="14" s="1"/>
  <c r="G21" i="4"/>
  <c r="G46" i="4"/>
  <c r="H46" i="4"/>
  <c r="J46" i="4"/>
  <c r="H15" i="3" s="1"/>
  <c r="D11" i="14" s="1"/>
  <c r="D46" i="4"/>
  <c r="B15" i="3" s="1"/>
  <c r="H21" i="4"/>
  <c r="G11" i="4"/>
  <c r="I11" i="4"/>
  <c r="G13" i="3" s="1"/>
  <c r="D11" i="4"/>
  <c r="B13" i="3" s="1"/>
  <c r="M51" i="1"/>
  <c r="G6" i="3" s="1"/>
  <c r="M26" i="1"/>
  <c r="G5" i="3" s="1"/>
  <c r="M13" i="1"/>
  <c r="G4" i="3" s="1"/>
  <c r="B12" i="14"/>
  <c r="H17" i="3" l="1"/>
  <c r="D13" i="14" s="1"/>
  <c r="H58" i="3"/>
  <c r="H60" i="3" s="1"/>
  <c r="F8" i="14"/>
  <c r="F66" i="11"/>
  <c r="F68" i="11"/>
  <c r="F67" i="11"/>
  <c r="F65" i="11"/>
  <c r="F64" i="11"/>
  <c r="B9" i="14"/>
  <c r="O21" i="4"/>
  <c r="M14" i="3" s="1"/>
  <c r="P15" i="4"/>
  <c r="N52" i="3" s="1"/>
  <c r="M54" i="3"/>
  <c r="N50" i="3" s="1"/>
  <c r="L46" i="3"/>
  <c r="L64" i="3" s="1"/>
  <c r="L14" i="3"/>
  <c r="R26" i="1"/>
  <c r="I5" i="3"/>
  <c r="E5" i="14" s="1"/>
  <c r="O53" i="1"/>
  <c r="I45" i="3" s="1"/>
  <c r="I63" i="3" s="1"/>
  <c r="G8" i="3"/>
  <c r="I55" i="4"/>
  <c r="G16" i="3" s="1"/>
  <c r="J11" i="4"/>
  <c r="M53" i="1"/>
  <c r="G63" i="3" s="1"/>
  <c r="I46" i="4"/>
  <c r="G15" i="3" s="1"/>
  <c r="G68" i="4"/>
  <c r="D68" i="4"/>
  <c r="B18" i="3" s="1"/>
  <c r="B11" i="14"/>
  <c r="E17" i="3"/>
  <c r="E16" i="3"/>
  <c r="E15" i="3"/>
  <c r="E14" i="3"/>
  <c r="E13" i="3"/>
  <c r="O68" i="4" l="1"/>
  <c r="M46" i="3" s="1"/>
  <c r="M64" i="3" s="1"/>
  <c r="P21" i="4"/>
  <c r="N14" i="3" s="1"/>
  <c r="B8" i="14"/>
  <c r="L18" i="3"/>
  <c r="G10" i="14"/>
  <c r="M18" i="3"/>
  <c r="H10" i="14"/>
  <c r="N54" i="3"/>
  <c r="O50" i="3" s="1"/>
  <c r="O54" i="3" s="1"/>
  <c r="J68" i="4"/>
  <c r="H13" i="3"/>
  <c r="D9" i="14" s="1"/>
  <c r="I8" i="3"/>
  <c r="K5" i="3"/>
  <c r="R53" i="1"/>
  <c r="K45" i="3" s="1"/>
  <c r="K63" i="3" s="1"/>
  <c r="I68" i="4"/>
  <c r="F31" i="11" l="1"/>
  <c r="P68" i="4"/>
  <c r="N46" i="3" s="1"/>
  <c r="N64" i="3" s="1"/>
  <c r="N18" i="3"/>
  <c r="I10" i="14"/>
  <c r="M20" i="3"/>
  <c r="M21" i="3" s="1"/>
  <c r="H8" i="14"/>
  <c r="L20" i="3"/>
  <c r="L21" i="3" s="1"/>
  <c r="G8" i="14"/>
  <c r="E3" i="14"/>
  <c r="K8" i="3"/>
  <c r="F5" i="14"/>
  <c r="G18" i="3"/>
  <c r="G20" i="3" s="1"/>
  <c r="G21" i="3" s="1"/>
  <c r="H18" i="3"/>
  <c r="D8" i="14" s="1"/>
  <c r="H46" i="3"/>
  <c r="H64" i="3" s="1"/>
  <c r="I20" i="3"/>
  <c r="I21" i="3" s="1"/>
  <c r="E18" i="3"/>
  <c r="E46" i="3"/>
  <c r="F17" i="3"/>
  <c r="F16" i="3"/>
  <c r="F15" i="3"/>
  <c r="F14" i="3"/>
  <c r="F52" i="3"/>
  <c r="F54" i="3" s="1"/>
  <c r="F33" i="11" l="1"/>
  <c r="F32" i="11"/>
  <c r="F30" i="11"/>
  <c r="N20" i="3"/>
  <c r="N21" i="3" s="1"/>
  <c r="I8" i="14"/>
  <c r="K20" i="3"/>
  <c r="K21" i="3" s="1"/>
  <c r="F3" i="14"/>
  <c r="E64" i="3"/>
  <c r="G64" i="3"/>
  <c r="G66" i="3" s="1"/>
  <c r="G48" i="3"/>
  <c r="G68" i="3" s="1"/>
  <c r="F13" i="3"/>
  <c r="H3" i="4"/>
  <c r="H11" i="4" s="1"/>
  <c r="H68" i="4" s="1"/>
  <c r="L51" i="1"/>
  <c r="F6" i="3" s="1"/>
  <c r="H51" i="1"/>
  <c r="B6" i="3" s="1"/>
  <c r="B6" i="14" s="1"/>
  <c r="N13" i="1"/>
  <c r="H4" i="3" s="1"/>
  <c r="D4" i="14" s="1"/>
  <c r="K13" i="1"/>
  <c r="E4" i="3" s="1"/>
  <c r="H13" i="1"/>
  <c r="B4" i="3" s="1"/>
  <c r="B4" i="14" s="1"/>
  <c r="H6" i="3" l="1"/>
  <c r="D6" i="14" s="1"/>
  <c r="N26" i="1"/>
  <c r="H5" i="3" s="1"/>
  <c r="D5" i="14" s="1"/>
  <c r="L13" i="1"/>
  <c r="F4" i="3" s="1"/>
  <c r="L26" i="1"/>
  <c r="F5" i="3" s="1"/>
  <c r="H26" i="1"/>
  <c r="B5" i="3" s="1"/>
  <c r="K51" i="1"/>
  <c r="E6" i="3" s="1"/>
  <c r="K17" i="1"/>
  <c r="K26" i="1" s="1"/>
  <c r="E5" i="3" s="1"/>
  <c r="B8" i="3" l="1"/>
  <c r="B3" i="14" s="1"/>
  <c r="B5" i="14"/>
  <c r="F18" i="3"/>
  <c r="F46" i="3"/>
  <c r="E8" i="3"/>
  <c r="H8" i="3"/>
  <c r="D3" i="14" s="1"/>
  <c r="F8" i="3"/>
  <c r="N53" i="1"/>
  <c r="K53" i="1"/>
  <c r="E45" i="3" s="1"/>
  <c r="H53" i="1"/>
  <c r="L53" i="1"/>
  <c r="F45" i="3" s="1"/>
  <c r="F63" i="3" s="1"/>
  <c r="H45" i="3" l="1"/>
  <c r="H48" i="3" s="1"/>
  <c r="B20" i="3"/>
  <c r="B21" i="3" s="1"/>
  <c r="E63" i="3"/>
  <c r="E66" i="3" s="1"/>
  <c r="E48" i="3"/>
  <c r="E68" i="3" s="1"/>
  <c r="F64" i="3"/>
  <c r="F66" i="3" s="1"/>
  <c r="F48" i="3"/>
  <c r="E20" i="3"/>
  <c r="E21" i="3" s="1"/>
  <c r="H20" i="3"/>
  <c r="H21" i="3" s="1"/>
  <c r="F20" i="3"/>
  <c r="F21" i="3" s="1"/>
  <c r="H63" i="3" l="1"/>
  <c r="H66" i="3" s="1"/>
  <c r="D15" i="14" s="1"/>
  <c r="I66" i="3"/>
  <c r="I48" i="3"/>
  <c r="I68" i="3" l="1"/>
  <c r="K44" i="3"/>
  <c r="E15" i="14"/>
  <c r="K62" i="3"/>
  <c r="K66" i="3" s="1"/>
  <c r="E16" i="14" l="1"/>
  <c r="B38" i="8"/>
  <c r="L62" i="3"/>
  <c r="L66" i="3" s="1"/>
  <c r="F15" i="14"/>
  <c r="K48" i="3"/>
  <c r="L44" i="3" s="1"/>
  <c r="L48" i="3" s="1"/>
  <c r="M62" i="3" l="1"/>
  <c r="M66" i="3" s="1"/>
  <c r="G15" i="14"/>
  <c r="L68" i="3"/>
  <c r="M44" i="3"/>
  <c r="M48" i="3" s="1"/>
  <c r="K68" i="3"/>
  <c r="B39" i="8" l="1"/>
  <c r="F16" i="14"/>
  <c r="B40" i="8"/>
  <c r="G16" i="14"/>
  <c r="N62" i="3"/>
  <c r="N66" i="3" s="1"/>
  <c r="H15" i="14"/>
  <c r="N44" i="3"/>
  <c r="N48" i="3" s="1"/>
  <c r="M68" i="3"/>
  <c r="I15" i="14" l="1"/>
  <c r="O62" i="3"/>
  <c r="O66" i="3" s="1"/>
  <c r="J15" i="14" s="1"/>
  <c r="N68" i="3"/>
  <c r="B42" i="8" s="1"/>
  <c r="O44" i="3"/>
  <c r="O48" i="3" s="1"/>
  <c r="O68" i="3" s="1"/>
  <c r="I16" i="14"/>
  <c r="B41" i="8"/>
  <c r="H16" i="14"/>
  <c r="J16" i="14" l="1"/>
  <c r="B43" i="8"/>
</calcChain>
</file>

<file path=xl/comments1.xml><?xml version="1.0" encoding="utf-8"?>
<comments xmlns="http://schemas.openxmlformats.org/spreadsheetml/2006/main">
  <authors>
    <author>Randal Charles</author>
  </authors>
  <commentList>
    <comment ref="F21" authorId="0" shapeId="0">
      <text>
        <r>
          <rPr>
            <b/>
            <sz val="9"/>
            <color indexed="81"/>
            <rFont val="Tahoma"/>
            <family val="2"/>
          </rPr>
          <t>F/R Lunch Threshold % being reduced significantly</t>
        </r>
      </text>
    </comment>
  </commentList>
</comments>
</file>

<file path=xl/comments2.xml><?xml version="1.0" encoding="utf-8"?>
<comments xmlns="http://schemas.openxmlformats.org/spreadsheetml/2006/main">
  <authors>
    <author>Randal Charles</author>
  </authors>
  <commentList>
    <comment ref="I4" authorId="0" shapeId="0">
      <text>
        <r>
          <rPr>
            <b/>
            <sz val="9"/>
            <color indexed="81"/>
            <rFont val="Tahoma"/>
            <family val="2"/>
          </rPr>
          <t>FY20 WADA 511.5436 @ $1,255 total Prop C = $641,987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25 student increase = 6%</t>
        </r>
      </text>
    </comment>
    <comment ref="I16" authorId="0" shapeId="0">
      <text>
        <r>
          <rPr>
            <b/>
            <sz val="9"/>
            <color indexed="81"/>
            <rFont val="Tahoma"/>
            <family val="2"/>
          </rPr>
          <t xml:space="preserve">Total Basic Formula is FY22 WADA 461.8719 @ $11,234 PLUS $289K Charter School LESS CTF
</t>
        </r>
      </text>
    </comment>
    <comment ref="M16" authorId="0" shapeId="0">
      <text>
        <r>
          <rPr>
            <b/>
            <sz val="9"/>
            <color indexed="81"/>
            <rFont val="Tahoma"/>
            <family val="2"/>
          </rPr>
          <t>Assume increase of 25 students &amp; 92% Attendance Rate for all Bas Form &amp; CTF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 xml:space="preserve">FY20 ADA $496.4761 @ $425
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</rPr>
          <t>Applied for Grant to add 1 FTE PreK Teacher</t>
        </r>
      </text>
    </comment>
    <comment ref="O22" authorId="0" shapeId="0">
      <text>
        <r>
          <rPr>
            <b/>
            <sz val="9"/>
            <color indexed="81"/>
            <rFont val="Tahoma"/>
            <family val="2"/>
          </rPr>
          <t>Applied for Grant to add 1 FTE PreK Teacher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</rPr>
          <t xml:space="preserve">25 student increase = 6%
</t>
        </r>
      </text>
    </comment>
  </commentList>
</comments>
</file>

<file path=xl/comments3.xml><?xml version="1.0" encoding="utf-8"?>
<comments xmlns="http://schemas.openxmlformats.org/spreadsheetml/2006/main">
  <authors>
    <author>Randal Charles</author>
  </authors>
  <commentList>
    <comment ref="M61" authorId="0" shapeId="0">
      <text>
        <r>
          <rPr>
            <b/>
            <sz val="9"/>
            <color indexed="81"/>
            <rFont val="Tahoma"/>
            <family val="2"/>
          </rPr>
          <t>HVAC Lease paid off in FY24</t>
        </r>
      </text>
    </comment>
    <comment ref="M62" authorId="0" shapeId="0">
      <text>
        <r>
          <rPr>
            <b/>
            <sz val="9"/>
            <color indexed="81"/>
            <rFont val="Tahoma"/>
            <family val="2"/>
          </rPr>
          <t>Begin paying Principal on Building Loan in FY25</t>
        </r>
      </text>
    </comment>
    <comment ref="M64" authorId="0" shapeId="0">
      <text>
        <r>
          <rPr>
            <b/>
            <sz val="9"/>
            <color indexed="81"/>
            <rFont val="Tahoma"/>
            <family val="2"/>
          </rPr>
          <t>HVAC Lease paid off in FY24</t>
        </r>
      </text>
    </comment>
  </commentList>
</comments>
</file>

<file path=xl/sharedStrings.xml><?xml version="1.0" encoding="utf-8"?>
<sst xmlns="http://schemas.openxmlformats.org/spreadsheetml/2006/main" count="402" uniqueCount="232">
  <si>
    <t>Object</t>
  </si>
  <si>
    <t>FY 22</t>
  </si>
  <si>
    <t>Code</t>
  </si>
  <si>
    <t>Earnings on Temporary Deposits</t>
  </si>
  <si>
    <t>Food Sales - Pupil</t>
  </si>
  <si>
    <t>Tuition- PreSchool</t>
  </si>
  <si>
    <t>Other Rev - Gifts/Grants</t>
  </si>
  <si>
    <t>School Level Fundraising</t>
  </si>
  <si>
    <t>Miscellaneous Revenue</t>
  </si>
  <si>
    <t>Transportation</t>
  </si>
  <si>
    <t>Classroom Trust Fund</t>
  </si>
  <si>
    <t>Other State Rev - Food Service</t>
  </si>
  <si>
    <t>Other State Rev - High Needs Fund</t>
  </si>
  <si>
    <t>Transportation Amts. rec'd from other 
Districts</t>
  </si>
  <si>
    <t>Medicaid</t>
  </si>
  <si>
    <t>Special Ed - Part B</t>
  </si>
  <si>
    <t>Food Service - Lunch</t>
  </si>
  <si>
    <t>Food Service - Breakfast</t>
  </si>
  <si>
    <t>Title 1</t>
  </si>
  <si>
    <t>Title IV.A  Student Support &amp; Academic 
Enrichment</t>
  </si>
  <si>
    <t>Title III LEP</t>
  </si>
  <si>
    <t>Title II</t>
  </si>
  <si>
    <t>LOCAL REVENUE</t>
  </si>
  <si>
    <t>STATE REVENUE</t>
  </si>
  <si>
    <t>Food Sales - Adult</t>
  </si>
  <si>
    <t>CARES - ESSER I Funds</t>
  </si>
  <si>
    <t>CRRSA - ESSER II Funds</t>
  </si>
  <si>
    <t>CARES - GEER Fund</t>
  </si>
  <si>
    <t>OA CRF</t>
  </si>
  <si>
    <t>CARES - School Lunch Program</t>
  </si>
  <si>
    <t>CARES - School Breakfast Program</t>
  </si>
  <si>
    <t>ACTUAL</t>
  </si>
  <si>
    <t>BUDGET 7/1/21</t>
  </si>
  <si>
    <t>REVISED 11/2/21</t>
  </si>
  <si>
    <t>Total Salaries</t>
  </si>
  <si>
    <t>Total Benefits</t>
  </si>
  <si>
    <t>Total Supplies &amp; Materials</t>
  </si>
  <si>
    <t>Total Capital Outlays</t>
  </si>
  <si>
    <t>FICA</t>
  </si>
  <si>
    <t>TOTAL EXPENDITURES</t>
  </si>
  <si>
    <t>REVENUE</t>
  </si>
  <si>
    <t>Local</t>
  </si>
  <si>
    <t>State</t>
  </si>
  <si>
    <t>Federal</t>
  </si>
  <si>
    <t>FEDERAL REVENUE</t>
  </si>
  <si>
    <t>TOTAL REVENUE</t>
  </si>
  <si>
    <t>EXPENDITURES</t>
  </si>
  <si>
    <t>Salaries</t>
  </si>
  <si>
    <t>Benefits</t>
  </si>
  <si>
    <t>Total Purchased Services</t>
  </si>
  <si>
    <t>Supplies</t>
  </si>
  <si>
    <t>Capital Outlay</t>
  </si>
  <si>
    <t>Purchased Services</t>
  </si>
  <si>
    <t>TOTAL</t>
  </si>
  <si>
    <t>NET</t>
  </si>
  <si>
    <t>CERTIFIED SALARIES - ADMIN</t>
  </si>
  <si>
    <t>SUPPLEMENTAL PAY - EXTRA DUTY</t>
  </si>
  <si>
    <t>CERTIFIED SALARIES - REGULAR</t>
  </si>
  <si>
    <t>CERTIFIED SALARIES - SUBSTITUTES</t>
  </si>
  <si>
    <t>NON CERTIFIED SALARIES - REGULAR</t>
  </si>
  <si>
    <t>NON CERTIFIED SALARIES - INSTRUCTIONAL AIDS</t>
  </si>
  <si>
    <t>NON-CERTIFIED SALARIES - SUBSTITUTES</t>
  </si>
  <si>
    <t>NON CERTIFIED SALARIES - PART TIME</t>
  </si>
  <si>
    <t>CERTIFIED RETIREMENT</t>
  </si>
  <si>
    <t>NON CERTIFIED RETIREMENT</t>
  </si>
  <si>
    <t>MEDICARE</t>
  </si>
  <si>
    <t>EMPLOYEE INSURANCE</t>
  </si>
  <si>
    <t>WORKERS' COMPENSATION</t>
  </si>
  <si>
    <t>UNEMPLOYMENT</t>
  </si>
  <si>
    <t>PURCHASED INSTRUCTIONAL SERVICES</t>
  </si>
  <si>
    <t>PUPIL SERVICES</t>
  </si>
  <si>
    <t>AUDIT SERVICES</t>
  </si>
  <si>
    <t>LEGAL SERVICES</t>
  </si>
  <si>
    <t>OTHER PROFESSIONAL SERVICES</t>
  </si>
  <si>
    <t>REPAIRS AND MAINTENANCE</t>
  </si>
  <si>
    <t>RENTALS - EQUIPMENT</t>
  </si>
  <si>
    <t>TRASH REMOVAL</t>
  </si>
  <si>
    <t>TECHNOLOGY RELATED REPAIRS &amp; MAINTENANCE</t>
  </si>
  <si>
    <t>OTHER PROPERTY SERVICES</t>
  </si>
  <si>
    <t>PROPERTY INSURANCE</t>
  </si>
  <si>
    <t>WATER AND SEWER</t>
  </si>
  <si>
    <t>TRANSPORTATION - CONTRACTED</t>
  </si>
  <si>
    <t>TRANSPORTATION - OTHER - NON ROUTE</t>
  </si>
  <si>
    <t>TRAVEL</t>
  </si>
  <si>
    <t>LIABILITY INSURANCE</t>
  </si>
  <si>
    <t>JUDGMENTS AGAINST LEA &amp; SETTLEMENTS</t>
  </si>
  <si>
    <t>COMMUNICATION</t>
  </si>
  <si>
    <t>ADVERTISING</t>
  </si>
  <si>
    <t>DUES AND MEMBERSHIPS</t>
  </si>
  <si>
    <t>OTHER EXPENSES</t>
  </si>
  <si>
    <t>OTHER PURCHASED SERVICES</t>
  </si>
  <si>
    <t>GENERAL SUPPLIES</t>
  </si>
  <si>
    <t>SUPPLIES - TECHNOLOGY RELATED</t>
  </si>
  <si>
    <t>TEXTBOOKS</t>
  </si>
  <si>
    <t>LIBRARY BOOKS</t>
  </si>
  <si>
    <t>RESOURCE MATERIALS</t>
  </si>
  <si>
    <t>ELECTRIC</t>
  </si>
  <si>
    <t>IMPROVEMENTS OTHER THAN BUILDINGS</t>
  </si>
  <si>
    <t>REGULAR EQUIPMENT</t>
  </si>
  <si>
    <t>TECHNOLOGY RELATED HARDWARE</t>
  </si>
  <si>
    <t>PRINCIPAL - SHORT TERM LOANS</t>
  </si>
  <si>
    <t>PRINCIPAL - LEASE PURCHASE AGREEMENT</t>
  </si>
  <si>
    <t>PRINCIPAL - LONG TERM LOANS</t>
  </si>
  <si>
    <t>INTEREST - SHORT TERM LOANS</t>
  </si>
  <si>
    <t>SALARIES</t>
  </si>
  <si>
    <t>BENEFITS</t>
  </si>
  <si>
    <t>SUPPLIES</t>
  </si>
  <si>
    <t>FY 23</t>
  </si>
  <si>
    <t>BUDGET</t>
  </si>
  <si>
    <t>ARP - ESSER III Funds</t>
  </si>
  <si>
    <t>PROJECTED</t>
  </si>
  <si>
    <t>YTD</t>
  </si>
  <si>
    <t>INTEREST - LEASE PURCHASE AGREEMENT</t>
  </si>
  <si>
    <t>Energy Loan</t>
  </si>
  <si>
    <t>Based on Prior Yr Expense - Incr 40%</t>
  </si>
  <si>
    <t>Request 100% of ESSER III Allocation</t>
  </si>
  <si>
    <t>Federal ESSER</t>
  </si>
  <si>
    <t>REVISE 11/2/21</t>
  </si>
  <si>
    <t>STAFF SERVICES</t>
  </si>
  <si>
    <t>INTEREST - LONG TERM LOANS</t>
  </si>
  <si>
    <t>6961</t>
  </si>
  <si>
    <t>3</t>
  </si>
  <si>
    <t>0</t>
  </si>
  <si>
    <t>1</t>
  </si>
  <si>
    <t>NET W/O ESSER</t>
  </si>
  <si>
    <t>GENERAL FUND</t>
  </si>
  <si>
    <t>Beginning Balance</t>
  </si>
  <si>
    <t>Revenue</t>
  </si>
  <si>
    <t>Expenditures</t>
  </si>
  <si>
    <t>EOY Balance</t>
  </si>
  <si>
    <t>TEACHERS' FUND</t>
  </si>
  <si>
    <t>CAPITAL FUND</t>
  </si>
  <si>
    <t>ALL FUNDS</t>
  </si>
  <si>
    <t>FUND BALANCES</t>
  </si>
  <si>
    <t>Transfers</t>
  </si>
  <si>
    <t>EOY Op Fund Balance</t>
  </si>
  <si>
    <t>5113</t>
  </si>
  <si>
    <t>100</t>
  </si>
  <si>
    <t>5311</t>
  </si>
  <si>
    <t>No Sum Schl - Enroll 440 - Att Rt 85%</t>
  </si>
  <si>
    <t>FY23 est = $653,182  Be conservative</t>
  </si>
  <si>
    <t>FY 24</t>
  </si>
  <si>
    <t>FY 25</t>
  </si>
  <si>
    <t>State fully funding 75% reimbursement</t>
  </si>
  <si>
    <t>4</t>
  </si>
  <si>
    <t>FY'21</t>
  </si>
  <si>
    <t>FY'22</t>
  </si>
  <si>
    <t>FY'23</t>
  </si>
  <si>
    <t>FY'24</t>
  </si>
  <si>
    <t>FY'19</t>
  </si>
  <si>
    <t>FY'20</t>
  </si>
  <si>
    <t>FY'25</t>
  </si>
  <si>
    <t>EOY OP FUND BALANCE</t>
  </si>
  <si>
    <t>FY'16</t>
  </si>
  <si>
    <t>FY'17</t>
  </si>
  <si>
    <t>FY'18</t>
  </si>
  <si>
    <t>New from MO - increase by $1900 X 432 = $820,800</t>
  </si>
  <si>
    <t>44100</t>
  </si>
  <si>
    <t>Basic Formula Revenue (Fund 2)</t>
  </si>
  <si>
    <t>Basic Formula Revenue (Fund 1)</t>
  </si>
  <si>
    <t>Local Rev - Prop C (Fund 1)</t>
  </si>
  <si>
    <t>Local Rev - Prop C (Fund 2)</t>
  </si>
  <si>
    <t>LOCAL</t>
  </si>
  <si>
    <t>STATE</t>
  </si>
  <si>
    <t>FEDERAL</t>
  </si>
  <si>
    <t>FED ESSER</t>
  </si>
  <si>
    <t>PURCH SVCS</t>
  </si>
  <si>
    <t>CAPITAL</t>
  </si>
  <si>
    <t>OTHER EMPLOYER PAID BENEFITS - EXTRA PAY</t>
  </si>
  <si>
    <t>5442</t>
  </si>
  <si>
    <t>SPED ECSE</t>
  </si>
  <si>
    <t>ACTUAL*</t>
  </si>
  <si>
    <t>FOOD SUPPLIES-EXCLUDE NON FOOD SUPPLIES</t>
  </si>
  <si>
    <t>FY 26</t>
  </si>
  <si>
    <t>FY'26</t>
  </si>
  <si>
    <t>5314</t>
  </si>
  <si>
    <t>00000</t>
  </si>
  <si>
    <t>ECSE State</t>
  </si>
  <si>
    <t>0000</t>
  </si>
  <si>
    <t>FY'27</t>
  </si>
  <si>
    <t>FY'28</t>
  </si>
  <si>
    <t>FY 27</t>
  </si>
  <si>
    <t>FY 28</t>
  </si>
  <si>
    <t>Purchased Svcs</t>
  </si>
  <si>
    <t>Capital</t>
  </si>
  <si>
    <t>FY'26 EST</t>
  </si>
  <si>
    <t>FY'27 EST</t>
  </si>
  <si>
    <t>FY'28 EST</t>
  </si>
  <si>
    <t>CASH BALANCE</t>
  </si>
  <si>
    <t>% FUND BALANCE</t>
  </si>
  <si>
    <t>ENROLLMENT</t>
  </si>
  <si>
    <t>ARP IDEA</t>
  </si>
  <si>
    <t>Other State Revenue</t>
  </si>
  <si>
    <t>Missouri School Health Profile</t>
  </si>
  <si>
    <t>5473</t>
  </si>
  <si>
    <t>47300</t>
  </si>
  <si>
    <t>6312-6313</t>
  </si>
  <si>
    <t>6331-6332</t>
  </si>
  <si>
    <t>6521-6531</t>
  </si>
  <si>
    <t>CARES Student Connectivity Grant</t>
  </si>
  <si>
    <t>EOY</t>
  </si>
  <si>
    <t>FY'24 YTD</t>
  </si>
  <si>
    <t>FY'24 EST</t>
  </si>
  <si>
    <t>5468</t>
  </si>
  <si>
    <t>46800</t>
  </si>
  <si>
    <t>Gordon Parks Homeless</t>
  </si>
  <si>
    <t>PreSchool Start Up Grant</t>
  </si>
  <si>
    <t>5423</t>
  </si>
  <si>
    <t>Grow Your Own Grant</t>
  </si>
  <si>
    <t>Other Federal</t>
  </si>
  <si>
    <t>FY'25 BGT</t>
  </si>
  <si>
    <t>FY 29</t>
  </si>
  <si>
    <t>FY'29</t>
  </si>
  <si>
    <t>FY'29 EST</t>
  </si>
  <si>
    <t>Att Rate</t>
  </si>
  <si>
    <t>ADA</t>
  </si>
  <si>
    <t>F/RL</t>
  </si>
  <si>
    <t>IEP</t>
  </si>
  <si>
    <t>LEP</t>
  </si>
  <si>
    <t>PreK</t>
  </si>
  <si>
    <t>WADA</t>
  </si>
  <si>
    <t>State Monies</t>
  </si>
  <si>
    <t>Total State Aid</t>
  </si>
  <si>
    <t>Using</t>
  </si>
  <si>
    <t>2nd Prior Year</t>
  </si>
  <si>
    <t>Data</t>
  </si>
  <si>
    <t>ASSUMPTIONS</t>
  </si>
  <si>
    <t>F/R Lunch Threshold % Reduces significantly (per DESE)</t>
  </si>
  <si>
    <t>Attendance Rate of 92%</t>
  </si>
  <si>
    <t>PreK - Included Zero for FY'25  - Included 12 thereafter</t>
  </si>
  <si>
    <t>Payment per pupil</t>
  </si>
  <si>
    <t>State Payment Per Pupil Increase 0.5%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</si>
</sst>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  <font>
      <u/>
      <sz val="10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name val="Calibri"/>
      <family val="2"/>
    </font>
    <font>
      <strike/>
      <sz val="10"/>
      <name val="Calibri"/>
      <family val="2"/>
    </font>
    <font>
      <sz val="11"/>
      <color rgb="FFFF0000"/>
      <name val="Calibri"/>
      <family val="2"/>
    </font>
    <font>
      <b/>
      <sz val="10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97">
    <xf numFmtId="0" fontId="0" fillId="0" borderId="0" xfId="0"/>
    <xf numFmtId="0" fontId="3" fillId="0" borderId="0" xfId="2" applyFont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/>
    <xf numFmtId="0" fontId="2" fillId="0" borderId="0" xfId="0" applyFont="1"/>
    <xf numFmtId="49" fontId="4" fillId="0" borderId="1" xfId="2" applyNumberFormat="1" applyFont="1" applyBorder="1" applyAlignment="1">
      <alignment vertical="center"/>
    </xf>
    <xf numFmtId="0" fontId="6" fillId="0" borderId="0" xfId="0" applyFont="1"/>
    <xf numFmtId="49" fontId="7" fillId="0" borderId="0" xfId="0" applyNumberFormat="1" applyFont="1" applyBorder="1" applyAlignment="1">
      <alignment horizontal="left" vertical="center"/>
    </xf>
    <xf numFmtId="0" fontId="0" fillId="0" borderId="0" xfId="0" applyFill="1"/>
    <xf numFmtId="49" fontId="7" fillId="0" borderId="0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/>
    <xf numFmtId="0" fontId="0" fillId="0" borderId="6" xfId="0" applyBorder="1" applyAlignment="1"/>
    <xf numFmtId="165" fontId="0" fillId="0" borderId="19" xfId="4" applyNumberFormat="1" applyFont="1" applyBorder="1"/>
    <xf numFmtId="165" fontId="0" fillId="0" borderId="20" xfId="4" applyNumberFormat="1" applyFont="1" applyBorder="1"/>
    <xf numFmtId="165" fontId="0" fillId="0" borderId="21" xfId="4" applyNumberFormat="1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165" fontId="0" fillId="3" borderId="22" xfId="4" applyNumberFormat="1" applyFont="1" applyFill="1" applyBorder="1"/>
    <xf numFmtId="165" fontId="0" fillId="3" borderId="7" xfId="4" applyNumberFormat="1" applyFont="1" applyFill="1" applyBorder="1"/>
    <xf numFmtId="165" fontId="0" fillId="3" borderId="23" xfId="4" applyNumberFormat="1" applyFont="1" applyFill="1" applyBorder="1"/>
    <xf numFmtId="165" fontId="0" fillId="0" borderId="26" xfId="4" applyNumberFormat="1" applyFont="1" applyBorder="1"/>
    <xf numFmtId="165" fontId="0" fillId="0" borderId="27" xfId="4" applyNumberFormat="1" applyFont="1" applyBorder="1"/>
    <xf numFmtId="165" fontId="0" fillId="0" borderId="28" xfId="4" applyNumberFormat="1" applyFont="1" applyBorder="1"/>
    <xf numFmtId="164" fontId="1" fillId="0" borderId="0" xfId="1" applyNumberFormat="1" applyFont="1"/>
    <xf numFmtId="164" fontId="1" fillId="3" borderId="0" xfId="1" applyNumberFormat="1" applyFont="1" applyFill="1"/>
    <xf numFmtId="0" fontId="6" fillId="0" borderId="0" xfId="0" applyFont="1" applyFill="1" applyBorder="1"/>
    <xf numFmtId="10" fontId="0" fillId="0" borderId="0" xfId="5" applyNumberFormat="1" applyFont="1"/>
    <xf numFmtId="10" fontId="0" fillId="0" borderId="0" xfId="0" applyNumberFormat="1"/>
    <xf numFmtId="0" fontId="10" fillId="0" borderId="0" xfId="0" applyFont="1"/>
    <xf numFmtId="166" fontId="0" fillId="0" borderId="0" xfId="5" applyNumberFormat="1" applyFont="1"/>
    <xf numFmtId="0" fontId="10" fillId="0" borderId="0" xfId="0" applyFont="1" applyFill="1"/>
    <xf numFmtId="0" fontId="6" fillId="0" borderId="39" xfId="0" applyFont="1" applyBorder="1"/>
    <xf numFmtId="165" fontId="0" fillId="0" borderId="40" xfId="4" applyNumberFormat="1" applyFont="1" applyBorder="1"/>
    <xf numFmtId="0" fontId="0" fillId="0" borderId="0" xfId="0" applyFont="1"/>
    <xf numFmtId="165" fontId="0" fillId="8" borderId="40" xfId="4" applyNumberFormat="1" applyFont="1" applyFill="1" applyBorder="1"/>
    <xf numFmtId="165" fontId="0" fillId="8" borderId="21" xfId="4" applyNumberFormat="1" applyFont="1" applyFill="1" applyBorder="1"/>
    <xf numFmtId="165" fontId="0" fillId="8" borderId="19" xfId="4" applyNumberFormat="1" applyFont="1" applyFill="1" applyBorder="1"/>
    <xf numFmtId="165" fontId="0" fillId="8" borderId="20" xfId="4" applyNumberFormat="1" applyFont="1" applyFill="1" applyBorder="1"/>
    <xf numFmtId="165" fontId="0" fillId="3" borderId="44" xfId="4" applyNumberFormat="1" applyFont="1" applyFill="1" applyBorder="1"/>
    <xf numFmtId="165" fontId="0" fillId="3" borderId="45" xfId="4" applyNumberFormat="1" applyFont="1" applyFill="1" applyBorder="1"/>
    <xf numFmtId="49" fontId="4" fillId="0" borderId="13" xfId="2" applyNumberFormat="1" applyFont="1" applyBorder="1" applyAlignment="1">
      <alignment horizontal="right" vertical="center"/>
    </xf>
    <xf numFmtId="0" fontId="0" fillId="0" borderId="8" xfId="0" applyBorder="1"/>
    <xf numFmtId="0" fontId="0" fillId="0" borderId="41" xfId="0" applyBorder="1"/>
    <xf numFmtId="49" fontId="4" fillId="0" borderId="18" xfId="2" applyNumberFormat="1" applyFont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1" fontId="8" fillId="0" borderId="14" xfId="0" applyNumberFormat="1" applyFont="1" applyFill="1" applyBorder="1" applyAlignment="1">
      <alignment vertical="center"/>
    </xf>
    <xf numFmtId="0" fontId="0" fillId="0" borderId="0" xfId="0" applyBorder="1" applyAlignment="1"/>
    <xf numFmtId="0" fontId="0" fillId="0" borderId="0" xfId="0" applyFill="1" applyBorder="1" applyAlignment="1"/>
    <xf numFmtId="1" fontId="8" fillId="0" borderId="32" xfId="0" applyNumberFormat="1" applyFont="1" applyFill="1" applyBorder="1" applyAlignment="1">
      <alignment vertical="center"/>
    </xf>
    <xf numFmtId="1" fontId="0" fillId="0" borderId="14" xfId="0" applyNumberFormat="1" applyFill="1" applyBorder="1" applyAlignment="1">
      <alignment vertical="center"/>
    </xf>
    <xf numFmtId="0" fontId="0" fillId="0" borderId="0" xfId="0" applyBorder="1"/>
    <xf numFmtId="0" fontId="0" fillId="0" borderId="42" xfId="0" applyBorder="1"/>
    <xf numFmtId="49" fontId="7" fillId="0" borderId="8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165" fontId="10" fillId="4" borderId="0" xfId="4" applyNumberFormat="1" applyFont="1" applyFill="1" applyBorder="1"/>
    <xf numFmtId="3" fontId="12" fillId="0" borderId="25" xfId="0" applyNumberFormat="1" applyFont="1" applyFill="1" applyBorder="1" applyAlignment="1">
      <alignment horizontal="right" vertical="top"/>
    </xf>
    <xf numFmtId="3" fontId="12" fillId="0" borderId="25" xfId="0" applyNumberFormat="1" applyFont="1" applyFill="1" applyBorder="1"/>
    <xf numFmtId="0" fontId="0" fillId="0" borderId="0" xfId="0" applyFont="1" applyFill="1" applyAlignment="1">
      <alignment horizontal="center"/>
    </xf>
    <xf numFmtId="49" fontId="5" fillId="0" borderId="0" xfId="6" applyNumberFormat="1" applyFont="1" applyBorder="1" applyAlignment="1">
      <alignment vertical="top"/>
    </xf>
    <xf numFmtId="0" fontId="15" fillId="0" borderId="0" xfId="0" applyFont="1" applyAlignment="1">
      <alignment horizontal="center"/>
    </xf>
    <xf numFmtId="49" fontId="4" fillId="0" borderId="0" xfId="2" applyNumberFormat="1" applyFont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/>
    </xf>
    <xf numFmtId="49" fontId="5" fillId="0" borderId="0" xfId="6" applyNumberFormat="1" applyFont="1" applyBorder="1" applyAlignment="1">
      <alignment horizontal="center" vertical="top"/>
    </xf>
    <xf numFmtId="1" fontId="5" fillId="0" borderId="0" xfId="2" applyNumberFormat="1" applyFont="1" applyAlignment="1">
      <alignment horizontal="center" vertical="center"/>
    </xf>
    <xf numFmtId="1" fontId="5" fillId="0" borderId="0" xfId="2" applyNumberFormat="1" applyFont="1" applyAlignment="1">
      <alignment horizontal="center"/>
    </xf>
    <xf numFmtId="164" fontId="0" fillId="3" borderId="0" xfId="0" applyNumberFormat="1" applyFill="1"/>
    <xf numFmtId="0" fontId="6" fillId="0" borderId="2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3" xfId="0" applyFont="1" applyBorder="1"/>
    <xf numFmtId="0" fontId="6" fillId="0" borderId="4" xfId="0" applyFont="1" applyBorder="1"/>
    <xf numFmtId="0" fontId="0" fillId="8" borderId="2" xfId="0" applyFill="1" applyBorder="1"/>
    <xf numFmtId="0" fontId="0" fillId="8" borderId="4" xfId="0" applyFill="1" applyBorder="1"/>
    <xf numFmtId="164" fontId="0" fillId="8" borderId="3" xfId="0" applyNumberFormat="1" applyFill="1" applyBorder="1"/>
    <xf numFmtId="165" fontId="0" fillId="0" borderId="9" xfId="4" applyNumberFormat="1" applyFont="1" applyBorder="1"/>
    <xf numFmtId="165" fontId="0" fillId="0" borderId="10" xfId="4" applyNumberFormat="1" applyFont="1" applyBorder="1"/>
    <xf numFmtId="165" fontId="0" fillId="0" borderId="11" xfId="4" applyNumberFormat="1" applyFont="1" applyBorder="1"/>
    <xf numFmtId="165" fontId="9" fillId="4" borderId="0" xfId="4" applyNumberFormat="1" applyFont="1" applyFill="1" applyBorder="1"/>
    <xf numFmtId="0" fontId="0" fillId="0" borderId="2" xfId="0" applyFill="1" applyBorder="1"/>
    <xf numFmtId="164" fontId="0" fillId="0" borderId="4" xfId="0" applyNumberFormat="1" applyFill="1" applyBorder="1"/>
    <xf numFmtId="164" fontId="0" fillId="0" borderId="5" xfId="0" applyNumberFormat="1" applyFill="1" applyBorder="1"/>
    <xf numFmtId="164" fontId="0" fillId="0" borderId="3" xfId="0" applyNumberFormat="1" applyFill="1" applyBorder="1"/>
    <xf numFmtId="164" fontId="0" fillId="0" borderId="4" xfId="1" applyNumberFormat="1" applyFont="1" applyFill="1" applyBorder="1"/>
    <xf numFmtId="44" fontId="0" fillId="0" borderId="4" xfId="1" applyFont="1" applyFill="1" applyBorder="1"/>
    <xf numFmtId="0" fontId="0" fillId="0" borderId="4" xfId="0" applyFill="1" applyBorder="1"/>
    <xf numFmtId="0" fontId="0" fillId="0" borderId="0" xfId="0" applyFill="1" applyBorder="1"/>
    <xf numFmtId="164" fontId="10" fillId="0" borderId="0" xfId="0" applyNumberFormat="1" applyFont="1"/>
    <xf numFmtId="0" fontId="17" fillId="0" borderId="2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0" borderId="33" xfId="0" applyFont="1" applyBorder="1" applyAlignment="1">
      <alignment horizontal="center"/>
    </xf>
    <xf numFmtId="39" fontId="17" fillId="0" borderId="3" xfId="3" applyNumberFormat="1" applyFont="1" applyBorder="1" applyAlignment="1">
      <alignment horizontal="center" vertical="center"/>
    </xf>
    <xf numFmtId="39" fontId="17" fillId="8" borderId="3" xfId="3" applyNumberFormat="1" applyFont="1" applyFill="1" applyBorder="1" applyAlignment="1">
      <alignment horizontal="center" vertical="center"/>
    </xf>
    <xf numFmtId="39" fontId="17" fillId="4" borderId="1" xfId="3" applyNumberFormat="1" applyFont="1" applyFill="1" applyBorder="1" applyAlignment="1">
      <alignment horizontal="center" vertical="center"/>
    </xf>
    <xf numFmtId="0" fontId="17" fillId="0" borderId="34" xfId="0" applyFont="1" applyBorder="1"/>
    <xf numFmtId="0" fontId="17" fillId="0" borderId="3" xfId="0" applyFont="1" applyBorder="1" applyAlignment="1">
      <alignment horizontal="center"/>
    </xf>
    <xf numFmtId="0" fontId="17" fillId="8" borderId="13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9" fillId="0" borderId="0" xfId="0" applyFont="1"/>
    <xf numFmtId="39" fontId="17" fillId="8" borderId="18" xfId="3" applyNumberFormat="1" applyFont="1" applyFill="1" applyBorder="1" applyAlignment="1">
      <alignment horizontal="center" vertical="center"/>
    </xf>
    <xf numFmtId="39" fontId="17" fillId="2" borderId="18" xfId="3" applyNumberFormat="1" applyFont="1" applyFill="1" applyBorder="1" applyAlignment="1">
      <alignment horizontal="center" vertical="center"/>
    </xf>
    <xf numFmtId="49" fontId="17" fillId="0" borderId="7" xfId="0" applyNumberFormat="1" applyFont="1" applyBorder="1" applyAlignment="1">
      <alignment horizontal="left" vertical="center"/>
    </xf>
    <xf numFmtId="1" fontId="22" fillId="0" borderId="16" xfId="0" applyNumberFormat="1" applyFont="1" applyFill="1" applyBorder="1" applyAlignment="1">
      <alignment vertical="center"/>
    </xf>
    <xf numFmtId="49" fontId="17" fillId="0" borderId="6" xfId="0" applyNumberFormat="1" applyFont="1" applyBorder="1" applyAlignment="1">
      <alignment horizontal="left" vertical="center"/>
    </xf>
    <xf numFmtId="3" fontId="17" fillId="0" borderId="49" xfId="0" applyNumberFormat="1" applyFont="1" applyFill="1" applyBorder="1" applyAlignment="1">
      <alignment horizontal="right" vertical="top"/>
    </xf>
    <xf numFmtId="49" fontId="24" fillId="0" borderId="1" xfId="0" applyNumberFormat="1" applyFont="1" applyBorder="1" applyAlignment="1">
      <alignment horizontal="left" vertical="center"/>
    </xf>
    <xf numFmtId="49" fontId="17" fillId="0" borderId="7" xfId="0" applyNumberFormat="1" applyFont="1" applyFill="1" applyBorder="1" applyAlignment="1">
      <alignment horizontal="left" vertical="center"/>
    </xf>
    <xf numFmtId="3" fontId="17" fillId="4" borderId="7" xfId="0" applyNumberFormat="1" applyFont="1" applyFill="1" applyBorder="1" applyAlignment="1">
      <alignment horizontal="right" vertical="center"/>
    </xf>
    <xf numFmtId="49" fontId="18" fillId="0" borderId="0" xfId="2" applyNumberFormat="1" applyFont="1" applyAlignment="1">
      <alignment vertical="center"/>
    </xf>
    <xf numFmtId="39" fontId="25" fillId="8" borderId="14" xfId="3" applyNumberFormat="1" applyFont="1" applyFill="1" applyBorder="1" applyAlignment="1">
      <alignment horizontal="center" vertical="center"/>
    </xf>
    <xf numFmtId="39" fontId="26" fillId="2" borderId="14" xfId="3" applyNumberFormat="1" applyFont="1" applyFill="1" applyBorder="1" applyAlignment="1">
      <alignment horizontal="center" vertical="center"/>
    </xf>
    <xf numFmtId="0" fontId="18" fillId="0" borderId="25" xfId="0" applyFont="1" applyBorder="1"/>
    <xf numFmtId="49" fontId="27" fillId="0" borderId="0" xfId="2" applyNumberFormat="1" applyFont="1" applyAlignment="1">
      <alignment vertical="center"/>
    </xf>
    <xf numFmtId="165" fontId="27" fillId="8" borderId="14" xfId="3" applyNumberFormat="1" applyFont="1" applyFill="1" applyBorder="1" applyAlignment="1">
      <alignment horizontal="right" vertical="center"/>
    </xf>
    <xf numFmtId="165" fontId="18" fillId="2" borderId="14" xfId="3" applyNumberFormat="1" applyFont="1" applyFill="1" applyBorder="1" applyAlignment="1">
      <alignment horizontal="right" vertical="center"/>
    </xf>
    <xf numFmtId="49" fontId="27" fillId="0" borderId="0" xfId="2" applyNumberFormat="1" applyFont="1" applyAlignment="1">
      <alignment horizontal="left" vertical="center"/>
    </xf>
    <xf numFmtId="164" fontId="27" fillId="8" borderId="14" xfId="1" applyNumberFormat="1" applyFont="1" applyFill="1" applyBorder="1" applyAlignment="1">
      <alignment horizontal="right" vertical="center"/>
    </xf>
    <xf numFmtId="164" fontId="18" fillId="2" borderId="14" xfId="1" applyNumberFormat="1" applyFont="1" applyFill="1" applyBorder="1" applyAlignment="1">
      <alignment horizontal="right" vertical="center"/>
    </xf>
    <xf numFmtId="165" fontId="27" fillId="8" borderId="36" xfId="3" applyNumberFormat="1" applyFont="1" applyFill="1" applyBorder="1" applyAlignment="1">
      <alignment horizontal="right" vertical="center"/>
    </xf>
    <xf numFmtId="165" fontId="18" fillId="2" borderId="36" xfId="3" applyNumberFormat="1" applyFont="1" applyFill="1" applyBorder="1" applyAlignment="1">
      <alignment horizontal="right" vertical="center"/>
    </xf>
    <xf numFmtId="49" fontId="18" fillId="0" borderId="0" xfId="2" applyNumberFormat="1" applyFont="1" applyAlignment="1">
      <alignment horizontal="left" vertical="center"/>
    </xf>
    <xf numFmtId="49" fontId="27" fillId="8" borderId="14" xfId="2" applyNumberFormat="1" applyFont="1" applyFill="1" applyBorder="1" applyAlignment="1">
      <alignment horizontal="left" vertical="center"/>
    </xf>
    <xf numFmtId="49" fontId="18" fillId="2" borderId="14" xfId="2" applyNumberFormat="1" applyFont="1" applyFill="1" applyBorder="1" applyAlignment="1">
      <alignment horizontal="left" vertical="center"/>
    </xf>
    <xf numFmtId="165" fontId="18" fillId="0" borderId="25" xfId="3" applyNumberFormat="1" applyFont="1" applyBorder="1"/>
    <xf numFmtId="165" fontId="18" fillId="0" borderId="0" xfId="3" applyNumberFormat="1" applyFont="1"/>
    <xf numFmtId="0" fontId="27" fillId="0" borderId="0" xfId="2" applyFont="1" applyAlignment="1">
      <alignment horizontal="left" vertical="center"/>
    </xf>
    <xf numFmtId="165" fontId="27" fillId="8" borderId="14" xfId="3" applyNumberFormat="1" applyFont="1" applyFill="1" applyBorder="1" applyAlignment="1">
      <alignment vertical="center"/>
    </xf>
    <xf numFmtId="165" fontId="18" fillId="2" borderId="14" xfId="3" applyNumberFormat="1" applyFont="1" applyFill="1" applyBorder="1" applyAlignment="1">
      <alignment vertical="center"/>
    </xf>
    <xf numFmtId="165" fontId="27" fillId="0" borderId="5" xfId="3" applyNumberFormat="1" applyFont="1" applyBorder="1" applyAlignment="1">
      <alignment vertical="center"/>
    </xf>
    <xf numFmtId="165" fontId="27" fillId="8" borderId="36" xfId="3" applyNumberFormat="1" applyFont="1" applyFill="1" applyBorder="1" applyAlignment="1">
      <alignment vertical="center"/>
    </xf>
    <xf numFmtId="165" fontId="18" fillId="2" borderId="36" xfId="3" applyNumberFormat="1" applyFont="1" applyFill="1" applyBorder="1" applyAlignment="1">
      <alignment vertical="center"/>
    </xf>
    <xf numFmtId="1" fontId="27" fillId="0" borderId="4" xfId="2" applyNumberFormat="1" applyFont="1" applyBorder="1" applyAlignment="1">
      <alignment horizontal="left" vertical="center"/>
    </xf>
    <xf numFmtId="1" fontId="27" fillId="8" borderId="14" xfId="2" applyNumberFormat="1" applyFont="1" applyFill="1" applyBorder="1" applyAlignment="1">
      <alignment horizontal="left" vertical="center"/>
    </xf>
    <xf numFmtId="1" fontId="18" fillId="2" borderId="14" xfId="2" applyNumberFormat="1" applyFont="1" applyFill="1" applyBorder="1" applyAlignment="1">
      <alignment horizontal="left" vertical="center"/>
    </xf>
    <xf numFmtId="165" fontId="16" fillId="0" borderId="25" xfId="3" applyNumberFormat="1" applyFont="1" applyBorder="1"/>
    <xf numFmtId="165" fontId="16" fillId="0" borderId="37" xfId="3" applyNumberFormat="1" applyFont="1" applyBorder="1"/>
    <xf numFmtId="165" fontId="16" fillId="0" borderId="25" xfId="0" applyNumberFormat="1" applyFont="1" applyBorder="1"/>
    <xf numFmtId="165" fontId="16" fillId="0" borderId="37" xfId="0" applyNumberFormat="1" applyFont="1" applyBorder="1"/>
    <xf numFmtId="49" fontId="17" fillId="0" borderId="0" xfId="2" applyNumberFormat="1" applyFont="1" applyAlignment="1">
      <alignment horizontal="left" vertical="center"/>
    </xf>
    <xf numFmtId="165" fontId="17" fillId="8" borderId="14" xfId="2" applyNumberFormat="1" applyFont="1" applyFill="1" applyBorder="1" applyAlignment="1">
      <alignment horizontal="left" vertical="center"/>
    </xf>
    <xf numFmtId="165" fontId="17" fillId="2" borderId="14" xfId="2" applyNumberFormat="1" applyFont="1" applyFill="1" applyBorder="1" applyAlignment="1">
      <alignment horizontal="left" vertical="center"/>
    </xf>
    <xf numFmtId="165" fontId="21" fillId="0" borderId="25" xfId="0" applyNumberFormat="1" applyFont="1" applyBorder="1"/>
    <xf numFmtId="165" fontId="17" fillId="8" borderId="14" xfId="3" applyNumberFormat="1" applyFont="1" applyFill="1" applyBorder="1" applyAlignment="1">
      <alignment horizontal="right" vertical="center"/>
    </xf>
    <xf numFmtId="165" fontId="17" fillId="2" borderId="14" xfId="3" applyNumberFormat="1" applyFont="1" applyFill="1" applyBorder="1" applyAlignment="1">
      <alignment horizontal="right" vertical="center"/>
    </xf>
    <xf numFmtId="165" fontId="17" fillId="0" borderId="25" xfId="3" applyNumberFormat="1" applyFont="1" applyBorder="1" applyAlignment="1">
      <alignment horizontal="right" vertical="center"/>
    </xf>
    <xf numFmtId="49" fontId="24" fillId="0" borderId="0" xfId="2" applyNumberFormat="1" applyFont="1" applyAlignment="1">
      <alignment horizontal="left"/>
    </xf>
    <xf numFmtId="164" fontId="24" fillId="8" borderId="18" xfId="1" applyNumberFormat="1" applyFont="1" applyFill="1" applyBorder="1" applyAlignment="1">
      <alignment horizontal="left"/>
    </xf>
    <xf numFmtId="164" fontId="24" fillId="2" borderId="18" xfId="1" applyNumberFormat="1" applyFont="1" applyFill="1" applyBorder="1" applyAlignment="1">
      <alignment horizontal="left"/>
    </xf>
    <xf numFmtId="164" fontId="24" fillId="0" borderId="29" xfId="1" applyNumberFormat="1" applyFont="1" applyBorder="1" applyAlignment="1">
      <alignment horizontal="left"/>
    </xf>
    <xf numFmtId="0" fontId="17" fillId="3" borderId="13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39" fontId="17" fillId="8" borderId="4" xfId="3" applyNumberFormat="1" applyFont="1" applyFill="1" applyBorder="1" applyAlignment="1">
      <alignment horizontal="center" vertical="center"/>
    </xf>
    <xf numFmtId="39" fontId="17" fillId="3" borderId="14" xfId="3" applyNumberFormat="1" applyFont="1" applyFill="1" applyBorder="1" applyAlignment="1">
      <alignment horizontal="center" vertical="center"/>
    </xf>
    <xf numFmtId="0" fontId="17" fillId="0" borderId="25" xfId="0" applyFont="1" applyBorder="1"/>
    <xf numFmtId="0" fontId="28" fillId="0" borderId="2" xfId="0" applyFont="1" applyBorder="1" applyAlignment="1">
      <alignment horizontal="center"/>
    </xf>
    <xf numFmtId="0" fontId="28" fillId="8" borderId="2" xfId="0" applyFont="1" applyFill="1" applyBorder="1" applyAlignment="1">
      <alignment horizontal="center"/>
    </xf>
    <xf numFmtId="0" fontId="28" fillId="3" borderId="8" xfId="0" applyFont="1" applyFill="1" applyBorder="1" applyAlignment="1">
      <alignment horizontal="center"/>
    </xf>
    <xf numFmtId="0" fontId="28" fillId="0" borderId="24" xfId="0" applyFont="1" applyBorder="1" applyAlignment="1">
      <alignment horizontal="center"/>
    </xf>
    <xf numFmtId="39" fontId="28" fillId="8" borderId="3" xfId="3" applyNumberFormat="1" applyFont="1" applyFill="1" applyBorder="1" applyAlignment="1">
      <alignment horizontal="center" vertical="center"/>
    </xf>
    <xf numFmtId="39" fontId="28" fillId="3" borderId="1" xfId="3" applyNumberFormat="1" applyFont="1" applyFill="1" applyBorder="1" applyAlignment="1">
      <alignment horizontal="center" vertical="center"/>
    </xf>
    <xf numFmtId="0" fontId="28" fillId="0" borderId="29" xfId="0" applyFont="1" applyBorder="1"/>
    <xf numFmtId="0" fontId="28" fillId="0" borderId="3" xfId="0" applyFont="1" applyBorder="1" applyAlignment="1">
      <alignment horizontal="center"/>
    </xf>
    <xf numFmtId="165" fontId="29" fillId="0" borderId="3" xfId="4" applyNumberFormat="1" applyFont="1" applyBorder="1"/>
    <xf numFmtId="165" fontId="29" fillId="8" borderId="3" xfId="4" applyNumberFormat="1" applyFont="1" applyFill="1" applyBorder="1"/>
    <xf numFmtId="165" fontId="29" fillId="3" borderId="42" xfId="4" applyNumberFormat="1" applyFont="1" applyFill="1" applyBorder="1"/>
    <xf numFmtId="0" fontId="29" fillId="0" borderId="18" xfId="0" applyFont="1" applyBorder="1"/>
    <xf numFmtId="165" fontId="29" fillId="3" borderId="1" xfId="4" applyNumberFormat="1" applyFont="1" applyFill="1" applyBorder="1"/>
    <xf numFmtId="165" fontId="29" fillId="0" borderId="29" xfId="4" applyNumberFormat="1" applyFont="1" applyBorder="1"/>
    <xf numFmtId="165" fontId="29" fillId="0" borderId="12" xfId="4" applyNumberFormat="1" applyFont="1" applyBorder="1"/>
    <xf numFmtId="0" fontId="29" fillId="0" borderId="0" xfId="0" applyFont="1"/>
    <xf numFmtId="10" fontId="29" fillId="0" borderId="0" xfId="5" applyNumberFormat="1" applyFont="1"/>
    <xf numFmtId="9" fontId="0" fillId="0" borderId="0" xfId="5" applyFont="1"/>
    <xf numFmtId="9" fontId="0" fillId="0" borderId="0" xfId="5" applyNumberFormat="1" applyFont="1"/>
    <xf numFmtId="0" fontId="22" fillId="0" borderId="0" xfId="0" applyFont="1" applyAlignment="1">
      <alignment horizontal="right"/>
    </xf>
    <xf numFmtId="0" fontId="17" fillId="7" borderId="18" xfId="0" applyFont="1" applyFill="1" applyBorder="1" applyAlignment="1">
      <alignment horizontal="center"/>
    </xf>
    <xf numFmtId="0" fontId="17" fillId="7" borderId="13" xfId="0" applyFont="1" applyFill="1" applyBorder="1" applyAlignment="1">
      <alignment horizontal="center"/>
    </xf>
    <xf numFmtId="3" fontId="18" fillId="0" borderId="20" xfId="0" applyNumberFormat="1" applyFont="1" applyFill="1" applyBorder="1" applyAlignment="1">
      <alignment horizontal="right" vertical="center"/>
    </xf>
    <xf numFmtId="165" fontId="31" fillId="0" borderId="4" xfId="4" applyNumberFormat="1" applyFont="1" applyFill="1" applyBorder="1"/>
    <xf numFmtId="3" fontId="18" fillId="0" borderId="20" xfId="0" applyNumberFormat="1" applyFont="1" applyFill="1" applyBorder="1" applyAlignment="1">
      <alignment horizontal="right" vertical="top"/>
    </xf>
    <xf numFmtId="3" fontId="18" fillId="0" borderId="48" xfId="0" applyNumberFormat="1" applyFont="1" applyFill="1" applyBorder="1" applyAlignment="1">
      <alignment horizontal="right" vertical="top"/>
    </xf>
    <xf numFmtId="0" fontId="30" fillId="0" borderId="0" xfId="0" applyFont="1"/>
    <xf numFmtId="0" fontId="12" fillId="0" borderId="2" xfId="0" applyFont="1" applyBorder="1" applyAlignment="1">
      <alignment horizontal="center"/>
    </xf>
    <xf numFmtId="165" fontId="31" fillId="0" borderId="4" xfId="4" applyNumberFormat="1" applyFont="1" applyFill="1" applyBorder="1" applyAlignment="1">
      <alignment vertical="center"/>
    </xf>
    <xf numFmtId="165" fontId="31" fillId="0" borderId="48" xfId="4" applyNumberFormat="1" applyFont="1" applyFill="1" applyBorder="1" applyAlignment="1">
      <alignment vertical="center"/>
    </xf>
    <xf numFmtId="3" fontId="18" fillId="0" borderId="20" xfId="1" applyNumberFormat="1" applyFont="1" applyFill="1" applyBorder="1" applyAlignment="1">
      <alignment horizontal="right" vertical="center"/>
    </xf>
    <xf numFmtId="165" fontId="27" fillId="0" borderId="4" xfId="4" applyNumberFormat="1" applyFont="1" applyFill="1" applyBorder="1" applyAlignment="1">
      <alignment horizontal="right" vertical="center"/>
    </xf>
    <xf numFmtId="165" fontId="31" fillId="0" borderId="4" xfId="4" applyNumberFormat="1" applyFont="1" applyFill="1" applyBorder="1" applyAlignment="1">
      <alignment horizontal="right" vertical="center"/>
    </xf>
    <xf numFmtId="165" fontId="31" fillId="0" borderId="48" xfId="4" applyNumberFormat="1" applyFont="1" applyFill="1" applyBorder="1" applyAlignment="1">
      <alignment horizontal="right" vertical="center"/>
    </xf>
    <xf numFmtId="165" fontId="18" fillId="0" borderId="4" xfId="4" applyNumberFormat="1" applyFont="1" applyFill="1" applyBorder="1" applyAlignment="1">
      <alignment horizontal="right" vertical="top"/>
    </xf>
    <xf numFmtId="165" fontId="31" fillId="0" borderId="48" xfId="4" applyNumberFormat="1" applyFont="1" applyFill="1" applyBorder="1"/>
    <xf numFmtId="165" fontId="18" fillId="0" borderId="4" xfId="4" applyNumberFormat="1" applyFont="1" applyFill="1" applyBorder="1"/>
    <xf numFmtId="165" fontId="18" fillId="0" borderId="3" xfId="4" applyNumberFormat="1" applyFont="1" applyFill="1" applyBorder="1" applyAlignment="1"/>
    <xf numFmtId="0" fontId="12" fillId="0" borderId="3" xfId="0" applyFont="1" applyBorder="1" applyAlignment="1">
      <alignment horizontal="center"/>
    </xf>
    <xf numFmtId="165" fontId="9" fillId="0" borderId="25" xfId="4" applyNumberFormat="1" applyFont="1" applyFill="1" applyBorder="1"/>
    <xf numFmtId="3" fontId="17" fillId="0" borderId="27" xfId="1" applyNumberFormat="1" applyFont="1" applyFill="1" applyBorder="1" applyAlignment="1">
      <alignment horizontal="right" vertical="center"/>
    </xf>
    <xf numFmtId="3" fontId="17" fillId="0" borderId="27" xfId="0" applyNumberFormat="1" applyFont="1" applyFill="1" applyBorder="1" applyAlignment="1">
      <alignment horizontal="right" vertical="center"/>
    </xf>
    <xf numFmtId="165" fontId="10" fillId="0" borderId="25" xfId="4" applyNumberFormat="1" applyFont="1" applyFill="1" applyBorder="1"/>
    <xf numFmtId="3" fontId="17" fillId="0" borderId="27" xfId="0" applyNumberFormat="1" applyFont="1" applyFill="1" applyBorder="1" applyAlignment="1">
      <alignment horizontal="right" vertical="top"/>
    </xf>
    <xf numFmtId="0" fontId="10" fillId="0" borderId="0" xfId="0" applyFont="1" applyFill="1" applyBorder="1"/>
    <xf numFmtId="164" fontId="10" fillId="0" borderId="0" xfId="1" applyNumberFormat="1" applyFont="1" applyFill="1"/>
    <xf numFmtId="164" fontId="10" fillId="0" borderId="0" xfId="0" applyNumberFormat="1" applyFont="1" applyFill="1"/>
    <xf numFmtId="164" fontId="0" fillId="0" borderId="0" xfId="0" applyNumberFormat="1" applyFill="1"/>
    <xf numFmtId="0" fontId="28" fillId="8" borderId="24" xfId="0" applyFont="1" applyFill="1" applyBorder="1" applyAlignment="1">
      <alignment horizontal="center"/>
    </xf>
    <xf numFmtId="0" fontId="28" fillId="8" borderId="29" xfId="0" applyFont="1" applyFill="1" applyBorder="1" applyAlignment="1">
      <alignment horizontal="center"/>
    </xf>
    <xf numFmtId="165" fontId="10" fillId="8" borderId="26" xfId="4" applyNumberFormat="1" applyFont="1" applyFill="1" applyBorder="1"/>
    <xf numFmtId="165" fontId="10" fillId="8" borderId="27" xfId="4" applyNumberFormat="1" applyFont="1" applyFill="1" applyBorder="1"/>
    <xf numFmtId="165" fontId="0" fillId="8" borderId="39" xfId="4" applyNumberFormat="1" applyFont="1" applyFill="1" applyBorder="1"/>
    <xf numFmtId="165" fontId="0" fillId="8" borderId="17" xfId="4" applyNumberFormat="1" applyFont="1" applyFill="1" applyBorder="1"/>
    <xf numFmtId="165" fontId="29" fillId="8" borderId="18" xfId="4" applyNumberFormat="1" applyFont="1" applyFill="1" applyBorder="1"/>
    <xf numFmtId="0" fontId="28" fillId="8" borderId="8" xfId="0" applyFont="1" applyFill="1" applyBorder="1" applyAlignment="1">
      <alignment horizontal="center"/>
    </xf>
    <xf numFmtId="0" fontId="28" fillId="8" borderId="1" xfId="0" applyFont="1" applyFill="1" applyBorder="1" applyAlignment="1">
      <alignment horizontal="center"/>
    </xf>
    <xf numFmtId="165" fontId="10" fillId="8" borderId="22" xfId="4" applyNumberFormat="1" applyFont="1" applyFill="1" applyBorder="1"/>
    <xf numFmtId="165" fontId="10" fillId="8" borderId="7" xfId="4" applyNumberFormat="1" applyFont="1" applyFill="1" applyBorder="1"/>
    <xf numFmtId="165" fontId="10" fillId="8" borderId="23" xfId="4" applyNumberFormat="1" applyFont="1" applyFill="1" applyBorder="1"/>
    <xf numFmtId="165" fontId="28" fillId="8" borderId="1" xfId="4" applyNumberFormat="1" applyFont="1" applyFill="1" applyBorder="1"/>
    <xf numFmtId="0" fontId="17" fillId="8" borderId="4" xfId="0" applyFont="1" applyFill="1" applyBorder="1" applyAlignment="1">
      <alignment horizontal="center"/>
    </xf>
    <xf numFmtId="164" fontId="0" fillId="8" borderId="4" xfId="0" applyNumberFormat="1" applyFill="1" applyBorder="1"/>
    <xf numFmtId="164" fontId="0" fillId="8" borderId="5" xfId="0" applyNumberFormat="1" applyFill="1" applyBorder="1"/>
    <xf numFmtId="164" fontId="0" fillId="8" borderId="4" xfId="1" applyNumberFormat="1" applyFont="1" applyFill="1" applyBorder="1"/>
    <xf numFmtId="164" fontId="10" fillId="8" borderId="4" xfId="1" applyNumberFormat="1" applyFont="1" applyFill="1" applyBorder="1"/>
    <xf numFmtId="0" fontId="32" fillId="0" borderId="2" xfId="0" applyFont="1" applyBorder="1" applyAlignment="1">
      <alignment horizontal="center"/>
    </xf>
    <xf numFmtId="39" fontId="32" fillId="0" borderId="3" xfId="3" applyNumberFormat="1" applyFont="1" applyBorder="1" applyAlignment="1">
      <alignment horizontal="center" vertical="center"/>
    </xf>
    <xf numFmtId="165" fontId="30" fillId="0" borderId="19" xfId="4" applyNumberFormat="1" applyFont="1" applyBorder="1"/>
    <xf numFmtId="165" fontId="30" fillId="0" borderId="20" xfId="4" applyNumberFormat="1" applyFont="1" applyBorder="1"/>
    <xf numFmtId="165" fontId="30" fillId="0" borderId="40" xfId="4" applyNumberFormat="1" applyFont="1" applyBorder="1"/>
    <xf numFmtId="165" fontId="30" fillId="0" borderId="21" xfId="4" applyNumberFormat="1" applyFont="1" applyBorder="1"/>
    <xf numFmtId="165" fontId="33" fillId="0" borderId="3" xfId="4" applyNumberFormat="1" applyFont="1" applyBorder="1"/>
    <xf numFmtId="0" fontId="30" fillId="0" borderId="0" xfId="0" applyFont="1" applyBorder="1"/>
    <xf numFmtId="164" fontId="30" fillId="0" borderId="0" xfId="1" applyNumberFormat="1" applyFont="1"/>
    <xf numFmtId="164" fontId="30" fillId="0" borderId="0" xfId="0" applyNumberFormat="1" applyFont="1"/>
    <xf numFmtId="0" fontId="19" fillId="8" borderId="0" xfId="0" applyFont="1" applyFill="1"/>
    <xf numFmtId="165" fontId="18" fillId="8" borderId="0" xfId="3" applyNumberFormat="1" applyFont="1" applyFill="1"/>
    <xf numFmtId="0" fontId="17" fillId="2" borderId="2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65" fontId="12" fillId="2" borderId="31" xfId="4" applyNumberFormat="1" applyFont="1" applyFill="1" applyBorder="1"/>
    <xf numFmtId="49" fontId="8" fillId="0" borderId="0" xfId="0" applyNumberFormat="1" applyFont="1" applyFill="1" applyBorder="1" applyAlignment="1">
      <alignment horizontal="left" vertical="center"/>
    </xf>
    <xf numFmtId="3" fontId="9" fillId="0" borderId="25" xfId="0" applyNumberFormat="1" applyFont="1" applyFill="1" applyBorder="1" applyAlignment="1">
      <alignment horizontal="right" vertical="center"/>
    </xf>
    <xf numFmtId="165" fontId="10" fillId="7" borderId="0" xfId="4" applyNumberFormat="1" applyFont="1" applyFill="1" applyBorder="1" applyAlignment="1">
      <alignment horizontal="right" vertical="center"/>
    </xf>
    <xf numFmtId="0" fontId="8" fillId="0" borderId="8" xfId="0" applyFont="1" applyFill="1" applyBorder="1"/>
    <xf numFmtId="49" fontId="8" fillId="0" borderId="6" xfId="0" applyNumberFormat="1" applyFont="1" applyFill="1" applyBorder="1" applyAlignment="1">
      <alignment horizontal="left" vertical="center"/>
    </xf>
    <xf numFmtId="49" fontId="20" fillId="0" borderId="7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vertical="center"/>
    </xf>
    <xf numFmtId="49" fontId="8" fillId="0" borderId="0" xfId="0" applyNumberFormat="1" applyFont="1" applyFill="1" applyBorder="1" applyAlignment="1">
      <alignment horizontal="left"/>
    </xf>
    <xf numFmtId="49" fontId="17" fillId="0" borderId="7" xfId="0" applyNumberFormat="1" applyFont="1" applyFill="1" applyBorder="1" applyAlignment="1">
      <alignment horizontal="right" vertical="center"/>
    </xf>
    <xf numFmtId="49" fontId="17" fillId="0" borderId="7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left" vertical="center"/>
    </xf>
    <xf numFmtId="49" fontId="17" fillId="0" borderId="6" xfId="0" applyNumberFormat="1" applyFont="1" applyBorder="1" applyAlignment="1">
      <alignment horizontal="right" vertical="center"/>
    </xf>
    <xf numFmtId="49" fontId="24" fillId="0" borderId="1" xfId="0" applyNumberFormat="1" applyFont="1" applyBorder="1" applyAlignment="1">
      <alignment horizontal="right" vertical="center"/>
    </xf>
    <xf numFmtId="165" fontId="27" fillId="0" borderId="2" xfId="4" applyNumberFormat="1" applyFont="1" applyFill="1" applyBorder="1"/>
    <xf numFmtId="165" fontId="9" fillId="8" borderId="43" xfId="4" applyNumberFormat="1" applyFont="1" applyFill="1" applyBorder="1"/>
    <xf numFmtId="3" fontId="17" fillId="8" borderId="47" xfId="0" applyNumberFormat="1" applyFont="1" applyFill="1" applyBorder="1" applyAlignment="1">
      <alignment horizontal="right" vertical="center"/>
    </xf>
    <xf numFmtId="165" fontId="10" fillId="8" borderId="43" xfId="4" applyNumberFormat="1" applyFont="1" applyFill="1" applyBorder="1"/>
    <xf numFmtId="3" fontId="17" fillId="8" borderId="47" xfId="0" applyNumberFormat="1" applyFont="1" applyFill="1" applyBorder="1" applyAlignment="1">
      <alignment horizontal="right" vertical="top"/>
    </xf>
    <xf numFmtId="3" fontId="17" fillId="8" borderId="46" xfId="0" applyNumberFormat="1" applyFont="1" applyFill="1" applyBorder="1" applyAlignment="1">
      <alignment horizontal="right" vertical="top"/>
    </xf>
    <xf numFmtId="165" fontId="9" fillId="7" borderId="0" xfId="4" applyNumberFormat="1" applyFont="1" applyFill="1" applyBorder="1"/>
    <xf numFmtId="165" fontId="10" fillId="7" borderId="0" xfId="4" applyNumberFormat="1" applyFont="1" applyFill="1" applyBorder="1" applyAlignment="1">
      <alignment vertical="center"/>
    </xf>
    <xf numFmtId="165" fontId="10" fillId="7" borderId="6" xfId="4" applyNumberFormat="1" applyFont="1" applyFill="1" applyBorder="1" applyAlignment="1">
      <alignment vertical="center"/>
    </xf>
    <xf numFmtId="3" fontId="17" fillId="7" borderId="7" xfId="1" applyNumberFormat="1" applyFont="1" applyFill="1" applyBorder="1" applyAlignment="1">
      <alignment horizontal="right" vertical="center"/>
    </xf>
    <xf numFmtId="165" fontId="9" fillId="7" borderId="0" xfId="4" applyNumberFormat="1" applyFont="1" applyFill="1" applyBorder="1" applyAlignment="1">
      <alignment horizontal="right" vertical="center"/>
    </xf>
    <xf numFmtId="165" fontId="10" fillId="7" borderId="6" xfId="4" applyNumberFormat="1" applyFont="1" applyFill="1" applyBorder="1" applyAlignment="1">
      <alignment horizontal="right" vertical="center"/>
    </xf>
    <xf numFmtId="3" fontId="17" fillId="7" borderId="7" xfId="0" applyNumberFormat="1" applyFont="1" applyFill="1" applyBorder="1" applyAlignment="1">
      <alignment horizontal="right" vertical="center"/>
    </xf>
    <xf numFmtId="165" fontId="12" fillId="7" borderId="0" xfId="4" applyNumberFormat="1" applyFont="1" applyFill="1" applyBorder="1" applyAlignment="1">
      <alignment horizontal="right" vertical="top"/>
    </xf>
    <xf numFmtId="165" fontId="10" fillId="7" borderId="0" xfId="4" applyNumberFormat="1" applyFont="1" applyFill="1" applyBorder="1"/>
    <xf numFmtId="165" fontId="10" fillId="7" borderId="0" xfId="4" applyNumberFormat="1" applyFont="1" applyFill="1" applyBorder="1" applyAlignment="1">
      <alignment horizontal="right"/>
    </xf>
    <xf numFmtId="165" fontId="10" fillId="7" borderId="6" xfId="4" applyNumberFormat="1" applyFont="1" applyFill="1" applyBorder="1"/>
    <xf numFmtId="3" fontId="17" fillId="7" borderId="7" xfId="0" applyNumberFormat="1" applyFont="1" applyFill="1" applyBorder="1" applyAlignment="1">
      <alignment horizontal="right" vertical="top"/>
    </xf>
    <xf numFmtId="3" fontId="17" fillId="7" borderId="6" xfId="0" applyNumberFormat="1" applyFont="1" applyFill="1" applyBorder="1" applyAlignment="1">
      <alignment horizontal="right" vertical="top"/>
    </xf>
    <xf numFmtId="165" fontId="12" fillId="7" borderId="0" xfId="4" applyNumberFormat="1" applyFont="1" applyFill="1" applyBorder="1"/>
    <xf numFmtId="165" fontId="24" fillId="7" borderId="1" xfId="4" applyNumberFormat="1" applyFont="1" applyFill="1" applyBorder="1" applyAlignment="1"/>
    <xf numFmtId="165" fontId="17" fillId="8" borderId="14" xfId="4" applyNumberFormat="1" applyFont="1" applyFill="1" applyBorder="1" applyAlignment="1">
      <alignment horizontal="left" vertical="center"/>
    </xf>
    <xf numFmtId="165" fontId="17" fillId="2" borderId="14" xfId="4" applyNumberFormat="1" applyFont="1" applyFill="1" applyBorder="1" applyAlignment="1">
      <alignment horizontal="left" vertical="center"/>
    </xf>
    <xf numFmtId="165" fontId="17" fillId="0" borderId="25" xfId="4" applyNumberFormat="1" applyFont="1" applyBorder="1" applyAlignment="1">
      <alignment horizontal="left" vertical="center"/>
    </xf>
    <xf numFmtId="0" fontId="0" fillId="0" borderId="0" xfId="0" applyFont="1" applyFill="1"/>
    <xf numFmtId="0" fontId="17" fillId="2" borderId="24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center"/>
    </xf>
    <xf numFmtId="0" fontId="28" fillId="2" borderId="33" xfId="0" applyFont="1" applyFill="1" applyBorder="1" applyAlignment="1">
      <alignment horizontal="center"/>
    </xf>
    <xf numFmtId="0" fontId="28" fillId="2" borderId="30" xfId="0" applyFont="1" applyFill="1" applyBorder="1" applyAlignment="1">
      <alignment horizontal="center"/>
    </xf>
    <xf numFmtId="0" fontId="28" fillId="2" borderId="34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/>
    </xf>
    <xf numFmtId="165" fontId="10" fillId="2" borderId="26" xfId="4" applyNumberFormat="1" applyFont="1" applyFill="1" applyBorder="1"/>
    <xf numFmtId="165" fontId="10" fillId="2" borderId="9" xfId="4" applyNumberFormat="1" applyFont="1" applyFill="1" applyBorder="1"/>
    <xf numFmtId="165" fontId="10" fillId="2" borderId="27" xfId="4" applyNumberFormat="1" applyFont="1" applyFill="1" applyBorder="1"/>
    <xf numFmtId="165" fontId="10" fillId="2" borderId="10" xfId="4" applyNumberFormat="1" applyFont="1" applyFill="1" applyBorder="1"/>
    <xf numFmtId="165" fontId="10" fillId="2" borderId="40" xfId="4" applyNumberFormat="1" applyFont="1" applyFill="1" applyBorder="1"/>
    <xf numFmtId="165" fontId="10" fillId="2" borderId="21" xfId="4" applyNumberFormat="1" applyFont="1" applyFill="1" applyBorder="1"/>
    <xf numFmtId="165" fontId="28" fillId="2" borderId="3" xfId="4" applyNumberFormat="1" applyFont="1" applyFill="1" applyBorder="1"/>
    <xf numFmtId="0" fontId="28" fillId="2" borderId="24" xfId="0" applyFont="1" applyFill="1" applyBorder="1" applyAlignment="1">
      <alignment horizontal="center"/>
    </xf>
    <xf numFmtId="0" fontId="28" fillId="2" borderId="29" xfId="0" applyFont="1" applyFill="1" applyBorder="1" applyAlignment="1">
      <alignment horizontal="center"/>
    </xf>
    <xf numFmtId="165" fontId="10" fillId="2" borderId="28" xfId="4" applyNumberFormat="1" applyFont="1" applyFill="1" applyBorder="1"/>
    <xf numFmtId="165" fontId="28" fillId="2" borderId="29" xfId="4" applyNumberFormat="1" applyFont="1" applyFill="1" applyBorder="1"/>
    <xf numFmtId="0" fontId="10" fillId="2" borderId="24" xfId="0" applyFont="1" applyFill="1" applyBorder="1"/>
    <xf numFmtId="164" fontId="10" fillId="2" borderId="31" xfId="0" applyNumberFormat="1" applyFont="1" applyFill="1" applyBorder="1"/>
    <xf numFmtId="164" fontId="10" fillId="2" borderId="37" xfId="0" applyNumberFormat="1" applyFont="1" applyFill="1" applyBorder="1"/>
    <xf numFmtId="164" fontId="10" fillId="2" borderId="29" xfId="0" applyNumberFormat="1" applyFont="1" applyFill="1" applyBorder="1"/>
    <xf numFmtId="164" fontId="10" fillId="2" borderId="12" xfId="0" applyNumberFormat="1" applyFont="1" applyFill="1" applyBorder="1"/>
    <xf numFmtId="39" fontId="17" fillId="0" borderId="3" xfId="3" applyNumberFormat="1" applyFont="1" applyFill="1" applyBorder="1" applyAlignment="1">
      <alignment horizontal="center" vertical="center"/>
    </xf>
    <xf numFmtId="39" fontId="25" fillId="0" borderId="14" xfId="3" applyNumberFormat="1" applyFont="1" applyFill="1" applyBorder="1" applyAlignment="1">
      <alignment horizontal="center" vertical="center"/>
    </xf>
    <xf numFmtId="165" fontId="27" fillId="0" borderId="14" xfId="3" applyNumberFormat="1" applyFont="1" applyFill="1" applyBorder="1" applyAlignment="1">
      <alignment horizontal="right" vertical="center"/>
    </xf>
    <xf numFmtId="164" fontId="27" fillId="0" borderId="14" xfId="1" applyNumberFormat="1" applyFont="1" applyFill="1" applyBorder="1" applyAlignment="1">
      <alignment horizontal="right" vertical="center"/>
    </xf>
    <xf numFmtId="165" fontId="27" fillId="0" borderId="36" xfId="3" applyNumberFormat="1" applyFont="1" applyFill="1" applyBorder="1" applyAlignment="1">
      <alignment horizontal="right" vertical="center"/>
    </xf>
    <xf numFmtId="49" fontId="27" fillId="0" borderId="14" xfId="2" applyNumberFormat="1" applyFont="1" applyFill="1" applyBorder="1" applyAlignment="1">
      <alignment horizontal="left" vertical="center"/>
    </xf>
    <xf numFmtId="165" fontId="27" fillId="0" borderId="14" xfId="3" applyNumberFormat="1" applyFont="1" applyFill="1" applyBorder="1" applyAlignment="1">
      <alignment vertical="center"/>
    </xf>
    <xf numFmtId="165" fontId="27" fillId="0" borderId="36" xfId="3" applyNumberFormat="1" applyFont="1" applyFill="1" applyBorder="1" applyAlignment="1">
      <alignment vertical="center"/>
    </xf>
    <xf numFmtId="1" fontId="27" fillId="0" borderId="4" xfId="2" applyNumberFormat="1" applyFont="1" applyFill="1" applyBorder="1" applyAlignment="1">
      <alignment horizontal="left" vertical="center"/>
    </xf>
    <xf numFmtId="165" fontId="10" fillId="2" borderId="15" xfId="4" applyNumberFormat="1" applyFont="1" applyFill="1" applyBorder="1"/>
    <xf numFmtId="165" fontId="10" fillId="2" borderId="16" xfId="4" applyNumberFormat="1" applyFont="1" applyFill="1" applyBorder="1"/>
    <xf numFmtId="165" fontId="10" fillId="2" borderId="17" xfId="4" applyNumberFormat="1" applyFont="1" applyFill="1" applyBorder="1"/>
    <xf numFmtId="165" fontId="28" fillId="2" borderId="18" xfId="4" applyNumberFormat="1" applyFont="1" applyFill="1" applyBorder="1"/>
    <xf numFmtId="165" fontId="31" fillId="0" borderId="19" xfId="4" applyNumberFormat="1" applyFont="1" applyBorder="1"/>
    <xf numFmtId="165" fontId="31" fillId="0" borderId="20" xfId="4" applyNumberFormat="1" applyFont="1" applyBorder="1"/>
    <xf numFmtId="165" fontId="31" fillId="0" borderId="40" xfId="4" applyNumberFormat="1" applyFont="1" applyBorder="1"/>
    <xf numFmtId="165" fontId="31" fillId="0" borderId="21" xfId="4" applyNumberFormat="1" applyFont="1" applyBorder="1"/>
    <xf numFmtId="165" fontId="32" fillId="0" borderId="3" xfId="4" applyNumberFormat="1" applyFont="1" applyBorder="1"/>
    <xf numFmtId="0" fontId="31" fillId="0" borderId="0" xfId="0" applyFont="1" applyBorder="1"/>
    <xf numFmtId="3" fontId="17" fillId="7" borderId="57" xfId="0" applyNumberFormat="1" applyFont="1" applyFill="1" applyBorder="1" applyAlignment="1">
      <alignment horizontal="right" vertical="top"/>
    </xf>
    <xf numFmtId="165" fontId="12" fillId="7" borderId="2" xfId="4" applyNumberFormat="1" applyFont="1" applyFill="1" applyBorder="1" applyAlignment="1">
      <alignment horizontal="right" vertical="top"/>
    </xf>
    <xf numFmtId="165" fontId="10" fillId="7" borderId="4" xfId="4" applyNumberFormat="1" applyFont="1" applyFill="1" applyBorder="1" applyAlignment="1">
      <alignment vertical="center"/>
    </xf>
    <xf numFmtId="0" fontId="9" fillId="0" borderId="0" xfId="0" applyFont="1"/>
    <xf numFmtId="0" fontId="9" fillId="8" borderId="0" xfId="0" applyFont="1" applyFill="1"/>
    <xf numFmtId="165" fontId="9" fillId="0" borderId="0" xfId="0" applyNumberFormat="1" applyFont="1"/>
    <xf numFmtId="165" fontId="9" fillId="0" borderId="0" xfId="3" applyNumberFormat="1" applyFont="1"/>
    <xf numFmtId="165" fontId="9" fillId="8" borderId="0" xfId="3" applyNumberFormat="1" applyFont="1" applyFill="1"/>
    <xf numFmtId="165" fontId="20" fillId="0" borderId="0" xfId="4" applyNumberFormat="1" applyFont="1"/>
    <xf numFmtId="165" fontId="20" fillId="8" borderId="0" xfId="4" applyNumberFormat="1" applyFont="1" applyFill="1"/>
    <xf numFmtId="43" fontId="9" fillId="0" borderId="0" xfId="3" applyNumberFormat="1" applyFont="1"/>
    <xf numFmtId="0" fontId="20" fillId="0" borderId="0" xfId="0" applyFont="1"/>
    <xf numFmtId="0" fontId="20" fillId="8" borderId="0" xfId="0" applyFont="1" applyFill="1"/>
    <xf numFmtId="165" fontId="9" fillId="8" borderId="0" xfId="0" applyNumberFormat="1" applyFont="1" applyFill="1"/>
    <xf numFmtId="165" fontId="20" fillId="0" borderId="0" xfId="0" applyNumberFormat="1" applyFont="1"/>
    <xf numFmtId="165" fontId="20" fillId="8" borderId="0" xfId="0" applyNumberFormat="1" applyFont="1" applyFill="1"/>
    <xf numFmtId="0" fontId="35" fillId="0" borderId="0" xfId="0" applyFont="1"/>
    <xf numFmtId="0" fontId="35" fillId="8" borderId="0" xfId="0" applyFont="1" applyFill="1"/>
    <xf numFmtId="165" fontId="10" fillId="7" borderId="3" xfId="4" applyNumberFormat="1" applyFont="1" applyFill="1" applyBorder="1" applyAlignment="1">
      <alignment vertical="center"/>
    </xf>
    <xf numFmtId="0" fontId="10" fillId="0" borderId="0" xfId="0" quotePrefix="1" applyFont="1"/>
    <xf numFmtId="0" fontId="27" fillId="0" borderId="2" xfId="0" applyFont="1" applyBorder="1"/>
    <xf numFmtId="165" fontId="27" fillId="0" borderId="4" xfId="3" applyNumberFormat="1" applyFont="1" applyBorder="1"/>
    <xf numFmtId="0" fontId="31" fillId="0" borderId="0" xfId="0" applyFont="1"/>
    <xf numFmtId="165" fontId="27" fillId="0" borderId="4" xfId="3" applyNumberFormat="1" applyFont="1" applyFill="1" applyBorder="1"/>
    <xf numFmtId="0" fontId="27" fillId="0" borderId="2" xfId="0" applyFont="1" applyFill="1" applyBorder="1"/>
    <xf numFmtId="0" fontId="34" fillId="0" borderId="0" xfId="0" applyFont="1" applyFill="1"/>
    <xf numFmtId="166" fontId="34" fillId="0" borderId="0" xfId="5" applyNumberFormat="1" applyFont="1" applyFill="1"/>
    <xf numFmtId="0" fontId="22" fillId="0" borderId="0" xfId="0" applyFont="1"/>
    <xf numFmtId="0" fontId="11" fillId="7" borderId="52" xfId="0" applyFont="1" applyFill="1" applyBorder="1" applyAlignment="1">
      <alignment horizontal="center"/>
    </xf>
    <xf numFmtId="164" fontId="11" fillId="0" borderId="0" xfId="1" applyNumberFormat="1" applyFont="1" applyBorder="1"/>
    <xf numFmtId="164" fontId="22" fillId="0" borderId="0" xfId="1" applyNumberFormat="1" applyFont="1" applyBorder="1"/>
    <xf numFmtId="0" fontId="22" fillId="0" borderId="0" xfId="0" applyFont="1" applyBorder="1"/>
    <xf numFmtId="0" fontId="13" fillId="7" borderId="58" xfId="0" applyFont="1" applyFill="1" applyBorder="1"/>
    <xf numFmtId="0" fontId="11" fillId="7" borderId="4" xfId="0" applyFont="1" applyFill="1" applyBorder="1"/>
    <xf numFmtId="0" fontId="22" fillId="7" borderId="4" xfId="0" applyFont="1" applyFill="1" applyBorder="1" applyAlignment="1">
      <alignment horizontal="right"/>
    </xf>
    <xf numFmtId="0" fontId="22" fillId="7" borderId="4" xfId="0" applyFont="1" applyFill="1" applyBorder="1"/>
    <xf numFmtId="0" fontId="2" fillId="0" borderId="0" xfId="0" applyFont="1" applyFill="1" applyBorder="1"/>
    <xf numFmtId="164" fontId="10" fillId="2" borderId="14" xfId="0" applyNumberFormat="1" applyFont="1" applyFill="1" applyBorder="1"/>
    <xf numFmtId="165" fontId="10" fillId="2" borderId="11" xfId="4" applyNumberFormat="1" applyFont="1" applyFill="1" applyBorder="1"/>
    <xf numFmtId="165" fontId="28" fillId="2" borderId="12" xfId="4" applyNumberFormat="1" applyFont="1" applyFill="1" applyBorder="1"/>
    <xf numFmtId="164" fontId="10" fillId="2" borderId="38" xfId="0" applyNumberFormat="1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7" fillId="2" borderId="31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164" fontId="10" fillId="2" borderId="36" xfId="0" applyNumberFormat="1" applyFont="1" applyFill="1" applyBorder="1"/>
    <xf numFmtId="164" fontId="10" fillId="2" borderId="18" xfId="0" applyNumberFormat="1" applyFont="1" applyFill="1" applyBorder="1"/>
    <xf numFmtId="10" fontId="28" fillId="0" borderId="0" xfId="5" applyNumberFormat="1" applyFont="1"/>
    <xf numFmtId="0" fontId="11" fillId="0" borderId="51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49" fontId="36" fillId="0" borderId="0" xfId="2" applyNumberFormat="1" applyFont="1" applyAlignment="1">
      <alignment horizontal="left" vertical="center"/>
    </xf>
    <xf numFmtId="0" fontId="11" fillId="2" borderId="51" xfId="0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164" fontId="11" fillId="2" borderId="14" xfId="1" applyNumberFormat="1" applyFont="1" applyFill="1" applyBorder="1"/>
    <xf numFmtId="164" fontId="11" fillId="2" borderId="43" xfId="1" applyNumberFormat="1" applyFont="1" applyFill="1" applyBorder="1"/>
    <xf numFmtId="164" fontId="22" fillId="2" borderId="14" xfId="1" applyNumberFormat="1" applyFont="1" applyFill="1" applyBorder="1"/>
    <xf numFmtId="164" fontId="22" fillId="2" borderId="43" xfId="1" applyNumberFormat="1" applyFont="1" applyFill="1" applyBorder="1"/>
    <xf numFmtId="0" fontId="22" fillId="2" borderId="14" xfId="0" applyFont="1" applyFill="1" applyBorder="1"/>
    <xf numFmtId="0" fontId="22" fillId="2" borderId="43" xfId="0" applyFont="1" applyFill="1" applyBorder="1"/>
    <xf numFmtId="0" fontId="11" fillId="4" borderId="51" xfId="0" applyFont="1" applyFill="1" applyBorder="1" applyAlignment="1">
      <alignment horizontal="center"/>
    </xf>
    <xf numFmtId="0" fontId="11" fillId="4" borderId="53" xfId="0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vertical="center"/>
    </xf>
    <xf numFmtId="1" fontId="20" fillId="0" borderId="16" xfId="0" applyNumberFormat="1" applyFont="1" applyFill="1" applyBorder="1" applyAlignment="1">
      <alignment vertical="center"/>
    </xf>
    <xf numFmtId="1" fontId="19" fillId="0" borderId="16" xfId="0" applyNumberFormat="1" applyFont="1" applyFill="1" applyBorder="1" applyAlignment="1">
      <alignment vertical="center"/>
    </xf>
    <xf numFmtId="1" fontId="21" fillId="0" borderId="32" xfId="0" applyNumberFormat="1" applyFont="1" applyFill="1" applyBorder="1" applyAlignment="1">
      <alignment vertical="center"/>
    </xf>
    <xf numFmtId="1" fontId="23" fillId="0" borderId="18" xfId="0" applyNumberFormat="1" applyFont="1" applyFill="1" applyBorder="1" applyAlignment="1">
      <alignment vertical="center"/>
    </xf>
    <xf numFmtId="165" fontId="18" fillId="0" borderId="4" xfId="4" applyNumberFormat="1" applyFont="1" applyBorder="1" applyAlignment="1">
      <alignment horizontal="left" vertical="center"/>
    </xf>
    <xf numFmtId="165" fontId="18" fillId="0" borderId="4" xfId="4" applyNumberFormat="1" applyFont="1" applyFill="1" applyBorder="1" applyAlignment="1">
      <alignment horizontal="left" vertical="center"/>
    </xf>
    <xf numFmtId="165" fontId="18" fillId="0" borderId="4" xfId="2" applyNumberFormat="1" applyFont="1" applyBorder="1" applyAlignment="1">
      <alignment horizontal="left" vertical="center"/>
    </xf>
    <xf numFmtId="165" fontId="18" fillId="0" borderId="4" xfId="2" applyNumberFormat="1" applyFont="1" applyFill="1" applyBorder="1" applyAlignment="1">
      <alignment horizontal="left" vertical="center"/>
    </xf>
    <xf numFmtId="165" fontId="18" fillId="0" borderId="35" xfId="3" applyNumberFormat="1" applyFont="1" applyBorder="1" applyAlignment="1">
      <alignment horizontal="right" vertical="center"/>
    </xf>
    <xf numFmtId="165" fontId="18" fillId="0" borderId="35" xfId="3" applyNumberFormat="1" applyFont="1" applyFill="1" applyBorder="1" applyAlignment="1">
      <alignment horizontal="right" vertical="center"/>
    </xf>
    <xf numFmtId="164" fontId="18" fillId="0" borderId="3" xfId="1" applyNumberFormat="1" applyFont="1" applyBorder="1" applyAlignment="1">
      <alignment horizontal="left"/>
    </xf>
    <xf numFmtId="164" fontId="18" fillId="0" borderId="3" xfId="1" applyNumberFormat="1" applyFont="1" applyFill="1" applyBorder="1" applyAlignment="1">
      <alignment horizontal="left"/>
    </xf>
    <xf numFmtId="0" fontId="27" fillId="0" borderId="0" xfId="0" applyFont="1"/>
    <xf numFmtId="165" fontId="31" fillId="0" borderId="4" xfId="4" applyNumberFormat="1" applyFont="1" applyBorder="1"/>
    <xf numFmtId="165" fontId="27" fillId="0" borderId="5" xfId="3" applyNumberFormat="1" applyFont="1" applyBorder="1"/>
    <xf numFmtId="0" fontId="27" fillId="0" borderId="56" xfId="0" applyFont="1" applyBorder="1"/>
    <xf numFmtId="165" fontId="27" fillId="0" borderId="5" xfId="3" applyNumberFormat="1" applyFont="1" applyFill="1" applyBorder="1"/>
    <xf numFmtId="165" fontId="31" fillId="0" borderId="4" xfId="0" applyNumberFormat="1" applyFont="1" applyBorder="1"/>
    <xf numFmtId="0" fontId="27" fillId="6" borderId="0" xfId="0" applyFont="1" applyFill="1"/>
    <xf numFmtId="165" fontId="31" fillId="0" borderId="4" xfId="0" applyNumberFormat="1" applyFont="1" applyFill="1" applyBorder="1"/>
    <xf numFmtId="0" fontId="27" fillId="0" borderId="0" xfId="0" applyFont="1" applyFill="1"/>
    <xf numFmtId="165" fontId="27" fillId="0" borderId="0" xfId="3" applyNumberFormat="1" applyFont="1" applyBorder="1"/>
    <xf numFmtId="165" fontId="18" fillId="0" borderId="4" xfId="0" applyNumberFormat="1" applyFont="1" applyBorder="1"/>
    <xf numFmtId="165" fontId="18" fillId="0" borderId="4" xfId="0" applyNumberFormat="1" applyFont="1" applyFill="1" applyBorder="1"/>
    <xf numFmtId="165" fontId="27" fillId="0" borderId="4" xfId="0" applyNumberFormat="1" applyFont="1" applyBorder="1"/>
    <xf numFmtId="165" fontId="27" fillId="0" borderId="5" xfId="0" applyNumberFormat="1" applyFont="1" applyBorder="1"/>
    <xf numFmtId="165" fontId="27" fillId="0" borderId="5" xfId="0" applyNumberFormat="1" applyFont="1" applyFill="1" applyBorder="1"/>
    <xf numFmtId="165" fontId="18" fillId="0" borderId="4" xfId="3" applyNumberFormat="1" applyFont="1" applyBorder="1" applyAlignment="1">
      <alignment horizontal="right" vertical="center"/>
    </xf>
    <xf numFmtId="165" fontId="18" fillId="0" borderId="4" xfId="3" applyNumberFormat="1" applyFont="1" applyFill="1" applyBorder="1" applyAlignment="1">
      <alignment horizontal="right" vertical="center"/>
    </xf>
    <xf numFmtId="165" fontId="27" fillId="0" borderId="4" xfId="0" applyNumberFormat="1" applyFont="1" applyFill="1" applyBorder="1"/>
    <xf numFmtId="0" fontId="38" fillId="2" borderId="4" xfId="0" applyFont="1" applyFill="1" applyBorder="1"/>
    <xf numFmtId="165" fontId="9" fillId="2" borderId="14" xfId="3" applyNumberFormat="1" applyFont="1" applyFill="1" applyBorder="1"/>
    <xf numFmtId="165" fontId="9" fillId="2" borderId="36" xfId="3" applyNumberFormat="1" applyFont="1" applyFill="1" applyBorder="1"/>
    <xf numFmtId="165" fontId="9" fillId="2" borderId="14" xfId="0" applyNumberFormat="1" applyFont="1" applyFill="1" applyBorder="1"/>
    <xf numFmtId="165" fontId="9" fillId="2" borderId="36" xfId="0" applyNumberFormat="1" applyFont="1" applyFill="1" applyBorder="1"/>
    <xf numFmtId="0" fontId="18" fillId="0" borderId="4" xfId="0" applyFont="1" applyFill="1" applyBorder="1"/>
    <xf numFmtId="165" fontId="9" fillId="0" borderId="4" xfId="3" applyNumberFormat="1" applyFont="1" applyFill="1" applyBorder="1"/>
    <xf numFmtId="165" fontId="9" fillId="0" borderId="5" xfId="3" applyNumberFormat="1" applyFont="1" applyFill="1" applyBorder="1"/>
    <xf numFmtId="165" fontId="18" fillId="0" borderId="4" xfId="3" applyNumberFormat="1" applyFont="1" applyFill="1" applyBorder="1"/>
    <xf numFmtId="165" fontId="9" fillId="0" borderId="4" xfId="0" applyNumberFormat="1" applyFont="1" applyFill="1" applyBorder="1"/>
    <xf numFmtId="165" fontId="9" fillId="0" borderId="5" xfId="0" applyNumberFormat="1" applyFont="1" applyFill="1" applyBorder="1"/>
    <xf numFmtId="0" fontId="10" fillId="2" borderId="2" xfId="0" applyFont="1" applyFill="1" applyBorder="1"/>
    <xf numFmtId="164" fontId="10" fillId="2" borderId="5" xfId="0" applyNumberFormat="1" applyFont="1" applyFill="1" applyBorder="1"/>
    <xf numFmtId="164" fontId="10" fillId="2" borderId="3" xfId="0" applyNumberFormat="1" applyFont="1" applyFill="1" applyBorder="1"/>
    <xf numFmtId="165" fontId="12" fillId="2" borderId="25" xfId="4" applyNumberFormat="1" applyFont="1" applyFill="1" applyBorder="1"/>
    <xf numFmtId="165" fontId="9" fillId="2" borderId="25" xfId="4" applyNumberFormat="1" applyFont="1" applyFill="1" applyBorder="1" applyAlignment="1">
      <alignment horizontal="right" vertical="center"/>
    </xf>
    <xf numFmtId="165" fontId="12" fillId="2" borderId="25" xfId="4" applyNumberFormat="1" applyFont="1" applyFill="1" applyBorder="1" applyAlignment="1">
      <alignment horizontal="right" vertical="top"/>
    </xf>
    <xf numFmtId="39" fontId="12" fillId="0" borderId="3" xfId="3" applyNumberFormat="1" applyFont="1" applyBorder="1" applyAlignment="1">
      <alignment horizontal="center" vertical="center"/>
    </xf>
    <xf numFmtId="0" fontId="17" fillId="2" borderId="18" xfId="0" applyFont="1" applyFill="1" applyBorder="1" applyAlignment="1">
      <alignment horizontal="center"/>
    </xf>
    <xf numFmtId="165" fontId="9" fillId="2" borderId="13" xfId="4" applyNumberFormat="1" applyFont="1" applyFill="1" applyBorder="1"/>
    <xf numFmtId="165" fontId="9" fillId="2" borderId="24" xfId="4" applyNumberFormat="1" applyFont="1" applyFill="1" applyBorder="1"/>
    <xf numFmtId="165" fontId="9" fillId="2" borderId="33" xfId="4" applyNumberFormat="1" applyFont="1" applyFill="1" applyBorder="1"/>
    <xf numFmtId="165" fontId="10" fillId="8" borderId="43" xfId="4" applyNumberFormat="1" applyFont="1" applyFill="1" applyBorder="1" applyAlignment="1">
      <alignment vertical="center"/>
    </xf>
    <xf numFmtId="165" fontId="10" fillId="4" borderId="0" xfId="4" applyNumberFormat="1" applyFont="1" applyFill="1" applyBorder="1" applyAlignment="1">
      <alignment vertical="center"/>
    </xf>
    <xf numFmtId="165" fontId="10" fillId="0" borderId="25" xfId="4" applyNumberFormat="1" applyFont="1" applyFill="1" applyBorder="1" applyAlignment="1">
      <alignment vertical="center"/>
    </xf>
    <xf numFmtId="165" fontId="10" fillId="2" borderId="14" xfId="4" applyNumberFormat="1" applyFont="1" applyFill="1" applyBorder="1" applyAlignment="1">
      <alignment vertical="center"/>
    </xf>
    <xf numFmtId="165" fontId="10" fillId="2" borderId="25" xfId="4" applyNumberFormat="1" applyFont="1" applyFill="1" applyBorder="1" applyAlignment="1">
      <alignment vertical="center"/>
    </xf>
    <xf numFmtId="165" fontId="10" fillId="2" borderId="55" xfId="4" applyNumberFormat="1" applyFont="1" applyFill="1" applyBorder="1" applyAlignment="1">
      <alignment vertical="center"/>
    </xf>
    <xf numFmtId="165" fontId="10" fillId="8" borderId="43" xfId="4" applyNumberFormat="1" applyFont="1" applyFill="1" applyBorder="1" applyAlignment="1">
      <alignment horizontal="right" vertical="center"/>
    </xf>
    <xf numFmtId="165" fontId="10" fillId="4" borderId="0" xfId="4" applyNumberFormat="1" applyFont="1" applyFill="1" applyBorder="1" applyAlignment="1">
      <alignment horizontal="right" vertical="center"/>
    </xf>
    <xf numFmtId="165" fontId="10" fillId="0" borderId="25" xfId="4" applyNumberFormat="1" applyFont="1" applyFill="1" applyBorder="1" applyAlignment="1">
      <alignment horizontal="right" vertical="center"/>
    </xf>
    <xf numFmtId="165" fontId="10" fillId="2" borderId="14" xfId="4" applyNumberFormat="1" applyFont="1" applyFill="1" applyBorder="1" applyAlignment="1">
      <alignment horizontal="right" vertical="center"/>
    </xf>
    <xf numFmtId="165" fontId="10" fillId="2" borderId="25" xfId="4" applyNumberFormat="1" applyFont="1" applyFill="1" applyBorder="1" applyAlignment="1">
      <alignment horizontal="right" vertical="center"/>
    </xf>
    <xf numFmtId="165" fontId="10" fillId="2" borderId="55" xfId="4" applyNumberFormat="1" applyFont="1" applyFill="1" applyBorder="1" applyAlignment="1">
      <alignment horizontal="right" vertical="center"/>
    </xf>
    <xf numFmtId="165" fontId="10" fillId="8" borderId="46" xfId="4" applyNumberFormat="1" applyFont="1" applyFill="1" applyBorder="1" applyAlignment="1">
      <alignment vertical="center"/>
    </xf>
    <xf numFmtId="165" fontId="10" fillId="4" borderId="6" xfId="4" applyNumberFormat="1" applyFont="1" applyFill="1" applyBorder="1" applyAlignment="1">
      <alignment vertical="center"/>
    </xf>
    <xf numFmtId="165" fontId="10" fillId="0" borderId="49" xfId="4" applyNumberFormat="1" applyFont="1" applyFill="1" applyBorder="1" applyAlignment="1">
      <alignment vertical="center"/>
    </xf>
    <xf numFmtId="165" fontId="10" fillId="2" borderId="32" xfId="4" applyNumberFormat="1" applyFont="1" applyFill="1" applyBorder="1" applyAlignment="1">
      <alignment vertical="center"/>
    </xf>
    <xf numFmtId="165" fontId="10" fillId="2" borderId="49" xfId="4" applyNumberFormat="1" applyFont="1" applyFill="1" applyBorder="1" applyAlignment="1">
      <alignment vertical="center"/>
    </xf>
    <xf numFmtId="165" fontId="10" fillId="2" borderId="59" xfId="4" applyNumberFormat="1" applyFont="1" applyFill="1" applyBorder="1" applyAlignment="1">
      <alignment vertical="center"/>
    </xf>
    <xf numFmtId="3" fontId="17" fillId="8" borderId="47" xfId="1" applyNumberFormat="1" applyFont="1" applyFill="1" applyBorder="1" applyAlignment="1">
      <alignment horizontal="right" vertical="center"/>
    </xf>
    <xf numFmtId="3" fontId="17" fillId="4" borderId="7" xfId="1" applyNumberFormat="1" applyFont="1" applyFill="1" applyBorder="1" applyAlignment="1">
      <alignment horizontal="right" vertical="center"/>
    </xf>
    <xf numFmtId="3" fontId="17" fillId="2" borderId="16" xfId="1" applyNumberFormat="1" applyFont="1" applyFill="1" applyBorder="1" applyAlignment="1">
      <alignment horizontal="right" vertical="center"/>
    </xf>
    <xf numFmtId="3" fontId="17" fillId="2" borderId="27" xfId="1" applyNumberFormat="1" applyFont="1" applyFill="1" applyBorder="1" applyAlignment="1">
      <alignment horizontal="right" vertical="center"/>
    </xf>
    <xf numFmtId="3" fontId="17" fillId="2" borderId="10" xfId="1" applyNumberFormat="1" applyFont="1" applyFill="1" applyBorder="1" applyAlignment="1">
      <alignment horizontal="right" vertical="center"/>
    </xf>
    <xf numFmtId="0" fontId="10" fillId="4" borderId="0" xfId="0" applyFont="1" applyFill="1" applyBorder="1" applyAlignment="1">
      <alignment horizontal="right" vertical="center"/>
    </xf>
    <xf numFmtId="165" fontId="27" fillId="2" borderId="14" xfId="4" applyNumberFormat="1" applyFont="1" applyFill="1" applyBorder="1" applyAlignment="1">
      <alignment horizontal="right" vertical="center"/>
    </xf>
    <xf numFmtId="165" fontId="9" fillId="2" borderId="31" xfId="4" applyNumberFormat="1" applyFont="1" applyFill="1" applyBorder="1" applyAlignment="1">
      <alignment horizontal="right" vertical="center"/>
    </xf>
    <xf numFmtId="165" fontId="10" fillId="8" borderId="0" xfId="4" applyNumberFormat="1" applyFont="1" applyFill="1" applyBorder="1" applyAlignment="1">
      <alignment horizontal="right" vertical="center"/>
    </xf>
    <xf numFmtId="165" fontId="10" fillId="0" borderId="0" xfId="4" applyNumberFormat="1" applyFont="1" applyFill="1" applyBorder="1" applyAlignment="1">
      <alignment horizontal="right" vertical="center"/>
    </xf>
    <xf numFmtId="165" fontId="10" fillId="8" borderId="46" xfId="4" applyNumberFormat="1" applyFont="1" applyFill="1" applyBorder="1" applyAlignment="1">
      <alignment horizontal="right" vertical="center"/>
    </xf>
    <xf numFmtId="165" fontId="10" fillId="4" borderId="6" xfId="4" applyNumberFormat="1" applyFont="1" applyFill="1" applyBorder="1" applyAlignment="1">
      <alignment horizontal="right" vertical="center"/>
    </xf>
    <xf numFmtId="165" fontId="10" fillId="0" borderId="49" xfId="4" applyNumberFormat="1" applyFont="1" applyFill="1" applyBorder="1" applyAlignment="1">
      <alignment horizontal="right" vertical="center"/>
    </xf>
    <xf numFmtId="165" fontId="10" fillId="2" borderId="32" xfId="4" applyNumberFormat="1" applyFont="1" applyFill="1" applyBorder="1" applyAlignment="1">
      <alignment horizontal="right" vertical="center"/>
    </xf>
    <xf numFmtId="165" fontId="10" fillId="2" borderId="49" xfId="4" applyNumberFormat="1" applyFont="1" applyFill="1" applyBorder="1" applyAlignment="1">
      <alignment horizontal="right" vertical="center"/>
    </xf>
    <xf numFmtId="165" fontId="10" fillId="2" borderId="59" xfId="4" applyNumberFormat="1" applyFont="1" applyFill="1" applyBorder="1" applyAlignment="1">
      <alignment horizontal="right" vertical="center"/>
    </xf>
    <xf numFmtId="3" fontId="17" fillId="2" borderId="16" xfId="0" applyNumberFormat="1" applyFont="1" applyFill="1" applyBorder="1" applyAlignment="1">
      <alignment horizontal="right" vertical="center"/>
    </xf>
    <xf numFmtId="3" fontId="17" fillId="2" borderId="27" xfId="0" applyNumberFormat="1" applyFont="1" applyFill="1" applyBorder="1" applyAlignment="1">
      <alignment horizontal="right" vertical="center"/>
    </xf>
    <xf numFmtId="3" fontId="17" fillId="2" borderId="10" xfId="0" applyNumberFormat="1" applyFont="1" applyFill="1" applyBorder="1" applyAlignment="1">
      <alignment horizontal="right" vertical="center"/>
    </xf>
    <xf numFmtId="165" fontId="10" fillId="8" borderId="43" xfId="4" applyNumberFormat="1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3" fontId="12" fillId="2" borderId="14" xfId="0" applyNumberFormat="1" applyFont="1" applyFill="1" applyBorder="1" applyAlignment="1">
      <alignment horizontal="right" vertical="top"/>
    </xf>
    <xf numFmtId="165" fontId="12" fillId="2" borderId="31" xfId="4" applyNumberFormat="1" applyFont="1" applyFill="1" applyBorder="1" applyAlignment="1">
      <alignment horizontal="right" vertical="top"/>
    </xf>
    <xf numFmtId="165" fontId="10" fillId="2" borderId="14" xfId="4" applyNumberFormat="1" applyFont="1" applyFill="1" applyBorder="1"/>
    <xf numFmtId="165" fontId="10" fillId="2" borderId="25" xfId="4" applyNumberFormat="1" applyFont="1" applyFill="1" applyBorder="1"/>
    <xf numFmtId="165" fontId="31" fillId="0" borderId="4" xfId="4" applyNumberFormat="1" applyFont="1" applyFill="1" applyBorder="1" applyAlignment="1">
      <alignment horizontal="right"/>
    </xf>
    <xf numFmtId="165" fontId="10" fillId="4" borderId="0" xfId="4" applyNumberFormat="1" applyFont="1" applyFill="1" applyBorder="1" applyAlignment="1">
      <alignment horizontal="right"/>
    </xf>
    <xf numFmtId="165" fontId="10" fillId="0" borderId="25" xfId="4" applyNumberFormat="1" applyFont="1" applyFill="1" applyBorder="1" applyAlignment="1">
      <alignment horizontal="right"/>
    </xf>
    <xf numFmtId="165" fontId="10" fillId="2" borderId="14" xfId="4" applyNumberFormat="1" applyFont="1" applyFill="1" applyBorder="1" applyAlignment="1">
      <alignment horizontal="right"/>
    </xf>
    <xf numFmtId="165" fontId="10" fillId="2" borderId="25" xfId="4" applyNumberFormat="1" applyFont="1" applyFill="1" applyBorder="1" applyAlignment="1">
      <alignment horizontal="right"/>
    </xf>
    <xf numFmtId="165" fontId="10" fillId="2" borderId="55" xfId="4" applyNumberFormat="1" applyFont="1" applyFill="1" applyBorder="1" applyAlignment="1">
      <alignment horizontal="right"/>
    </xf>
    <xf numFmtId="165" fontId="10" fillId="8" borderId="46" xfId="4" applyNumberFormat="1" applyFont="1" applyFill="1" applyBorder="1"/>
    <xf numFmtId="165" fontId="10" fillId="4" borderId="6" xfId="4" applyNumberFormat="1" applyFont="1" applyFill="1" applyBorder="1"/>
    <xf numFmtId="165" fontId="10" fillId="0" borderId="49" xfId="4" applyNumberFormat="1" applyFont="1" applyFill="1" applyBorder="1"/>
    <xf numFmtId="165" fontId="10" fillId="2" borderId="32" xfId="4" applyNumberFormat="1" applyFont="1" applyFill="1" applyBorder="1"/>
    <xf numFmtId="165" fontId="10" fillId="2" borderId="49" xfId="4" applyNumberFormat="1" applyFont="1" applyFill="1" applyBorder="1"/>
    <xf numFmtId="165" fontId="17" fillId="4" borderId="7" xfId="4" applyNumberFormat="1" applyFont="1" applyFill="1" applyBorder="1"/>
    <xf numFmtId="3" fontId="17" fillId="2" borderId="16" xfId="0" applyNumberFormat="1" applyFont="1" applyFill="1" applyBorder="1" applyAlignment="1">
      <alignment horizontal="right" vertical="top"/>
    </xf>
    <xf numFmtId="3" fontId="17" fillId="2" borderId="27" xfId="0" applyNumberFormat="1" applyFont="1" applyFill="1" applyBorder="1" applyAlignment="1">
      <alignment horizontal="right" vertical="top"/>
    </xf>
    <xf numFmtId="3" fontId="17" fillId="2" borderId="10" xfId="0" applyNumberFormat="1" applyFont="1" applyFill="1" applyBorder="1" applyAlignment="1">
      <alignment horizontal="right" vertical="top"/>
    </xf>
    <xf numFmtId="43" fontId="9" fillId="4" borderId="0" xfId="4" applyFont="1" applyFill="1" applyBorder="1"/>
    <xf numFmtId="165" fontId="18" fillId="0" borderId="40" xfId="4" applyNumberFormat="1" applyFont="1" applyFill="1" applyBorder="1" applyAlignment="1">
      <alignment horizontal="right" vertical="top"/>
    </xf>
    <xf numFmtId="3" fontId="12" fillId="2" borderId="39" xfId="0" applyNumberFormat="1" applyFont="1" applyFill="1" applyBorder="1" applyAlignment="1">
      <alignment horizontal="right" vertical="top"/>
    </xf>
    <xf numFmtId="165" fontId="12" fillId="2" borderId="54" xfId="4" applyNumberFormat="1" applyFont="1" applyFill="1" applyBorder="1" applyAlignment="1">
      <alignment horizontal="right" vertical="top"/>
    </xf>
    <xf numFmtId="165" fontId="10" fillId="0" borderId="4" xfId="4" applyNumberFormat="1" applyFont="1" applyFill="1" applyBorder="1" applyAlignment="1">
      <alignment vertical="center"/>
    </xf>
    <xf numFmtId="165" fontId="10" fillId="4" borderId="14" xfId="4" applyNumberFormat="1" applyFont="1" applyFill="1" applyBorder="1" applyAlignment="1">
      <alignment vertical="center"/>
    </xf>
    <xf numFmtId="165" fontId="17" fillId="4" borderId="6" xfId="4" applyNumberFormat="1" applyFont="1" applyFill="1" applyBorder="1" applyAlignment="1"/>
    <xf numFmtId="3" fontId="17" fillId="2" borderId="32" xfId="0" applyNumberFormat="1" applyFont="1" applyFill="1" applyBorder="1" applyAlignment="1">
      <alignment horizontal="right" vertical="top"/>
    </xf>
    <xf numFmtId="3" fontId="17" fillId="2" borderId="49" xfId="0" applyNumberFormat="1" applyFont="1" applyFill="1" applyBorder="1" applyAlignment="1">
      <alignment horizontal="right" vertical="top"/>
    </xf>
    <xf numFmtId="3" fontId="17" fillId="2" borderId="50" xfId="0" applyNumberFormat="1" applyFont="1" applyFill="1" applyBorder="1" applyAlignment="1">
      <alignment horizontal="right" vertical="top"/>
    </xf>
    <xf numFmtId="4" fontId="31" fillId="0" borderId="4" xfId="0" applyNumberFormat="1" applyFont="1" applyFill="1" applyBorder="1"/>
    <xf numFmtId="4" fontId="10" fillId="8" borderId="43" xfId="0" applyNumberFormat="1" applyFont="1" applyFill="1" applyBorder="1"/>
    <xf numFmtId="3" fontId="12" fillId="2" borderId="14" xfId="0" applyNumberFormat="1" applyFont="1" applyFill="1" applyBorder="1"/>
    <xf numFmtId="165" fontId="24" fillId="8" borderId="42" xfId="4" applyNumberFormat="1" applyFont="1" applyFill="1" applyBorder="1" applyAlignment="1"/>
    <xf numFmtId="165" fontId="24" fillId="4" borderId="1" xfId="4" applyNumberFormat="1" applyFont="1" applyFill="1" applyBorder="1" applyAlignment="1"/>
    <xf numFmtId="165" fontId="24" fillId="0" borderId="29" xfId="4" applyNumberFormat="1" applyFont="1" applyFill="1" applyBorder="1" applyAlignment="1"/>
    <xf numFmtId="165" fontId="24" fillId="2" borderId="18" xfId="4" applyNumberFormat="1" applyFont="1" applyFill="1" applyBorder="1" applyAlignment="1"/>
    <xf numFmtId="165" fontId="24" fillId="2" borderId="29" xfId="4" applyNumberFormat="1" applyFont="1" applyFill="1" applyBorder="1" applyAlignment="1"/>
    <xf numFmtId="165" fontId="24" fillId="2" borderId="12" xfId="4" applyNumberFormat="1" applyFont="1" applyFill="1" applyBorder="1" applyAlignment="1"/>
    <xf numFmtId="165" fontId="10" fillId="0" borderId="0" xfId="0" applyNumberFormat="1" applyFont="1"/>
    <xf numFmtId="43" fontId="10" fillId="0" borderId="0" xfId="0" applyNumberFormat="1" applyFont="1"/>
    <xf numFmtId="165" fontId="9" fillId="2" borderId="4" xfId="0" applyNumberFormat="1" applyFont="1" applyFill="1" applyBorder="1"/>
    <xf numFmtId="165" fontId="18" fillId="2" borderId="4" xfId="3" applyNumberFormat="1" applyFont="1" applyFill="1" applyBorder="1"/>
    <xf numFmtId="165" fontId="37" fillId="0" borderId="4" xfId="3" applyNumberFormat="1" applyFont="1" applyFill="1" applyBorder="1"/>
    <xf numFmtId="14" fontId="0" fillId="0" borderId="0" xfId="0" applyNumberFormat="1" applyFont="1" applyFill="1"/>
    <xf numFmtId="0" fontId="27" fillId="2" borderId="14" xfId="0" applyFont="1" applyFill="1" applyBorder="1"/>
    <xf numFmtId="165" fontId="27" fillId="2" borderId="14" xfId="3" applyNumberFormat="1" applyFont="1" applyFill="1" applyBorder="1"/>
    <xf numFmtId="43" fontId="34" fillId="0" borderId="0" xfId="0" applyNumberFormat="1" applyFont="1" applyFill="1"/>
    <xf numFmtId="0" fontId="18" fillId="0" borderId="2" xfId="0" applyFont="1" applyBorder="1" applyAlignment="1">
      <alignment horizontal="center"/>
    </xf>
    <xf numFmtId="39" fontId="18" fillId="0" borderId="4" xfId="3" applyNumberFormat="1" applyFont="1" applyBorder="1" applyAlignment="1">
      <alignment horizontal="center" vertical="center"/>
    </xf>
    <xf numFmtId="0" fontId="17" fillId="2" borderId="25" xfId="0" applyFont="1" applyFill="1" applyBorder="1" applyAlignment="1">
      <alignment horizontal="center"/>
    </xf>
    <xf numFmtId="0" fontId="31" fillId="0" borderId="2" xfId="0" applyFont="1" applyBorder="1"/>
    <xf numFmtId="0" fontId="10" fillId="0" borderId="24" xfId="0" applyFont="1" applyFill="1" applyBorder="1"/>
    <xf numFmtId="0" fontId="10" fillId="8" borderId="2" xfId="0" applyFont="1" applyFill="1" applyBorder="1"/>
    <xf numFmtId="0" fontId="10" fillId="3" borderId="13" xfId="0" applyFont="1" applyFill="1" applyBorder="1"/>
    <xf numFmtId="0" fontId="10" fillId="0" borderId="24" xfId="0" applyFont="1" applyBorder="1"/>
    <xf numFmtId="164" fontId="31" fillId="0" borderId="4" xfId="1" applyNumberFormat="1" applyFont="1" applyBorder="1"/>
    <xf numFmtId="164" fontId="10" fillId="0" borderId="25" xfId="0" applyNumberFormat="1" applyFont="1" applyFill="1" applyBorder="1"/>
    <xf numFmtId="0" fontId="10" fillId="8" borderId="4" xfId="0" applyFont="1" applyFill="1" applyBorder="1"/>
    <xf numFmtId="164" fontId="10" fillId="3" borderId="14" xfId="0" applyNumberFormat="1" applyFont="1" applyFill="1" applyBorder="1"/>
    <xf numFmtId="164" fontId="10" fillId="0" borderId="25" xfId="0" applyNumberFormat="1" applyFont="1" applyBorder="1"/>
    <xf numFmtId="164" fontId="10" fillId="2" borderId="25" xfId="0" applyNumberFormat="1" applyFont="1" applyFill="1" applyBorder="1"/>
    <xf numFmtId="164" fontId="31" fillId="0" borderId="4" xfId="0" applyNumberFormat="1" applyFont="1" applyBorder="1"/>
    <xf numFmtId="164" fontId="31" fillId="0" borderId="5" xfId="1" applyNumberFormat="1" applyFont="1" applyBorder="1"/>
    <xf numFmtId="164" fontId="10" fillId="0" borderId="37" xfId="0" applyNumberFormat="1" applyFont="1" applyFill="1" applyBorder="1"/>
    <xf numFmtId="0" fontId="10" fillId="8" borderId="5" xfId="0" applyFont="1" applyFill="1" applyBorder="1"/>
    <xf numFmtId="164" fontId="10" fillId="3" borderId="36" xfId="0" applyNumberFormat="1" applyFont="1" applyFill="1" applyBorder="1"/>
    <xf numFmtId="164" fontId="10" fillId="0" borderId="37" xfId="0" applyNumberFormat="1" applyFont="1" applyBorder="1"/>
    <xf numFmtId="164" fontId="31" fillId="0" borderId="3" xfId="0" applyNumberFormat="1" applyFont="1" applyBorder="1"/>
    <xf numFmtId="164" fontId="10" fillId="0" borderId="29" xfId="0" applyNumberFormat="1" applyFont="1" applyFill="1" applyBorder="1"/>
    <xf numFmtId="0" fontId="10" fillId="8" borderId="3" xfId="0" applyFont="1" applyFill="1" applyBorder="1"/>
    <xf numFmtId="164" fontId="10" fillId="3" borderId="18" xfId="0" applyNumberFormat="1" applyFont="1" applyFill="1" applyBorder="1"/>
    <xf numFmtId="164" fontId="10" fillId="0" borderId="29" xfId="0" applyNumberFormat="1" applyFont="1" applyBorder="1"/>
    <xf numFmtId="44" fontId="31" fillId="0" borderId="4" xfId="1" applyFont="1" applyBorder="1"/>
    <xf numFmtId="164" fontId="10" fillId="2" borderId="4" xfId="0" applyNumberFormat="1" applyFont="1" applyFill="1" applyBorder="1"/>
    <xf numFmtId="164" fontId="10" fillId="0" borderId="25" xfId="1" applyNumberFormat="1" applyFont="1" applyFill="1" applyBorder="1"/>
    <xf numFmtId="164" fontId="10" fillId="3" borderId="14" xfId="1" applyNumberFormat="1" applyFont="1" applyFill="1" applyBorder="1"/>
    <xf numFmtId="164" fontId="10" fillId="0" borderId="25" xfId="1" applyNumberFormat="1" applyFont="1" applyBorder="1"/>
    <xf numFmtId="164" fontId="10" fillId="2" borderId="25" xfId="1" applyNumberFormat="1" applyFont="1" applyFill="1" applyBorder="1"/>
    <xf numFmtId="164" fontId="10" fillId="2" borderId="4" xfId="1" applyNumberFormat="1" applyFont="1" applyFill="1" applyBorder="1"/>
    <xf numFmtId="164" fontId="31" fillId="0" borderId="5" xfId="0" applyNumberFormat="1" applyFont="1" applyBorder="1"/>
    <xf numFmtId="44" fontId="31" fillId="0" borderId="3" xfId="0" applyNumberFormat="1" applyFont="1" applyBorder="1"/>
    <xf numFmtId="44" fontId="10" fillId="0" borderId="25" xfId="1" applyFont="1" applyFill="1" applyBorder="1"/>
    <xf numFmtId="44" fontId="10" fillId="3" borderId="14" xfId="1" applyFont="1" applyFill="1" applyBorder="1"/>
    <xf numFmtId="44" fontId="10" fillId="0" borderId="25" xfId="1" applyFont="1" applyBorder="1"/>
    <xf numFmtId="44" fontId="10" fillId="2" borderId="25" xfId="1" applyFont="1" applyFill="1" applyBorder="1"/>
    <xf numFmtId="164" fontId="10" fillId="2" borderId="31" xfId="1" applyNumberFormat="1" applyFont="1" applyFill="1" applyBorder="1"/>
    <xf numFmtId="164" fontId="10" fillId="2" borderId="14" xfId="1" applyNumberFormat="1" applyFont="1" applyFill="1" applyBorder="1"/>
    <xf numFmtId="164" fontId="10" fillId="8" borderId="3" xfId="0" applyNumberFormat="1" applyFont="1" applyFill="1" applyBorder="1"/>
    <xf numFmtId="0" fontId="31" fillId="0" borderId="4" xfId="0" applyFont="1" applyBorder="1"/>
    <xf numFmtId="0" fontId="10" fillId="0" borderId="25" xfId="0" applyFont="1" applyFill="1" applyBorder="1"/>
    <xf numFmtId="0" fontId="10" fillId="3" borderId="14" xfId="0" applyFont="1" applyFill="1" applyBorder="1"/>
    <xf numFmtId="0" fontId="10" fillId="0" borderId="25" xfId="0" applyFont="1" applyBorder="1"/>
    <xf numFmtId="0" fontId="10" fillId="2" borderId="25" xfId="0" applyFont="1" applyFill="1" applyBorder="1"/>
    <xf numFmtId="10" fontId="32" fillId="0" borderId="0" xfId="5" applyNumberFormat="1" applyFont="1"/>
    <xf numFmtId="0" fontId="28" fillId="0" borderId="0" xfId="0" applyFont="1"/>
    <xf numFmtId="0" fontId="10" fillId="0" borderId="0" xfId="0" applyFont="1" applyFill="1" applyAlignment="1">
      <alignment horizontal="center"/>
    </xf>
    <xf numFmtId="14" fontId="10" fillId="0" borderId="0" xfId="0" applyNumberFormat="1" applyFont="1" applyFill="1"/>
    <xf numFmtId="165" fontId="18" fillId="5" borderId="4" xfId="4" applyNumberFormat="1" applyFont="1" applyFill="1" applyBorder="1"/>
    <xf numFmtId="0" fontId="17" fillId="5" borderId="2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165" fontId="27" fillId="5" borderId="4" xfId="0" applyNumberFormat="1" applyFont="1" applyFill="1" applyBorder="1"/>
    <xf numFmtId="0" fontId="28" fillId="5" borderId="2" xfId="0" applyFont="1" applyFill="1" applyBorder="1" applyAlignment="1">
      <alignment horizontal="center"/>
    </xf>
    <xf numFmtId="0" fontId="28" fillId="5" borderId="3" xfId="0" applyFont="1" applyFill="1" applyBorder="1" applyAlignment="1">
      <alignment horizontal="center"/>
    </xf>
    <xf numFmtId="165" fontId="0" fillId="5" borderId="19" xfId="4" applyNumberFormat="1" applyFont="1" applyFill="1" applyBorder="1"/>
    <xf numFmtId="165" fontId="0" fillId="5" borderId="20" xfId="4" applyNumberFormat="1" applyFont="1" applyFill="1" applyBorder="1"/>
    <xf numFmtId="165" fontId="0" fillId="5" borderId="40" xfId="4" applyNumberFormat="1" applyFont="1" applyFill="1" applyBorder="1"/>
    <xf numFmtId="165" fontId="0" fillId="5" borderId="21" xfId="4" applyNumberFormat="1" applyFont="1" applyFill="1" applyBorder="1"/>
    <xf numFmtId="165" fontId="29" fillId="5" borderId="3" xfId="4" applyNumberFormat="1" applyFont="1" applyFill="1" applyBorder="1"/>
    <xf numFmtId="165" fontId="0" fillId="5" borderId="9" xfId="4" applyNumberFormat="1" applyFont="1" applyFill="1" applyBorder="1"/>
    <xf numFmtId="165" fontId="0" fillId="5" borderId="10" xfId="4" applyNumberFormat="1" applyFont="1" applyFill="1" applyBorder="1"/>
    <xf numFmtId="165" fontId="0" fillId="5" borderId="11" xfId="4" applyNumberFormat="1" applyFont="1" applyFill="1" applyBorder="1"/>
    <xf numFmtId="165" fontId="29" fillId="5" borderId="12" xfId="4" applyNumberFormat="1" applyFont="1" applyFill="1" applyBorder="1"/>
    <xf numFmtId="0" fontId="0" fillId="5" borderId="2" xfId="0" applyFill="1" applyBorder="1"/>
    <xf numFmtId="164" fontId="0" fillId="5" borderId="4" xfId="0" applyNumberFormat="1" applyFill="1" applyBorder="1"/>
    <xf numFmtId="164" fontId="0" fillId="5" borderId="5" xfId="0" applyNumberFormat="1" applyFill="1" applyBorder="1"/>
    <xf numFmtId="164" fontId="0" fillId="5" borderId="3" xfId="0" applyNumberFormat="1" applyFill="1" applyBorder="1"/>
    <xf numFmtId="164" fontId="0" fillId="5" borderId="4" xfId="1" applyNumberFormat="1" applyFont="1" applyFill="1" applyBorder="1"/>
    <xf numFmtId="44" fontId="0" fillId="5" borderId="4" xfId="1" applyFont="1" applyFill="1" applyBorder="1"/>
    <xf numFmtId="0" fontId="0" fillId="5" borderId="4" xfId="0" applyFill="1" applyBorder="1"/>
    <xf numFmtId="164" fontId="11" fillId="5" borderId="0" xfId="1" applyNumberFormat="1" applyFont="1" applyFill="1" applyBorder="1"/>
    <xf numFmtId="164" fontId="22" fillId="5" borderId="0" xfId="1" applyNumberFormat="1" applyFont="1" applyFill="1" applyBorder="1"/>
    <xf numFmtId="0" fontId="22" fillId="5" borderId="0" xfId="0" applyFont="1" applyFill="1" applyBorder="1"/>
    <xf numFmtId="165" fontId="27" fillId="2" borderId="31" xfId="4" applyNumberFormat="1" applyFont="1" applyFill="1" applyBorder="1"/>
    <xf numFmtId="165" fontId="9" fillId="2" borderId="31" xfId="4" applyNumberFormat="1" applyFont="1" applyFill="1" applyBorder="1"/>
    <xf numFmtId="165" fontId="17" fillId="2" borderId="31" xfId="4" applyNumberFormat="1" applyFont="1" applyFill="1" applyBorder="1" applyAlignment="1">
      <alignment horizontal="left" vertical="center"/>
    </xf>
    <xf numFmtId="165" fontId="9" fillId="2" borderId="38" xfId="4" applyNumberFormat="1" applyFont="1" applyFill="1" applyBorder="1"/>
    <xf numFmtId="165" fontId="17" fillId="2" borderId="4" xfId="4" applyNumberFormat="1" applyFont="1" applyFill="1" applyBorder="1" applyAlignment="1">
      <alignment horizontal="left" vertical="center"/>
    </xf>
    <xf numFmtId="165" fontId="18" fillId="2" borderId="31" xfId="4" applyNumberFormat="1" applyFont="1" applyFill="1" applyBorder="1"/>
    <xf numFmtId="165" fontId="17" fillId="2" borderId="31" xfId="4" applyNumberFormat="1" applyFont="1" applyFill="1" applyBorder="1"/>
    <xf numFmtId="165" fontId="17" fillId="2" borderId="4" xfId="0" applyNumberFormat="1" applyFont="1" applyFill="1" applyBorder="1"/>
    <xf numFmtId="165" fontId="17" fillId="2" borderId="31" xfId="3" applyNumberFormat="1" applyFont="1" applyFill="1" applyBorder="1" applyAlignment="1">
      <alignment horizontal="right" vertical="center"/>
    </xf>
    <xf numFmtId="165" fontId="17" fillId="2" borderId="4" xfId="3" applyNumberFormat="1" applyFont="1" applyFill="1" applyBorder="1" applyAlignment="1">
      <alignment horizontal="right" vertical="center"/>
    </xf>
    <xf numFmtId="165" fontId="12" fillId="2" borderId="31" xfId="0" applyNumberFormat="1" applyFont="1" applyFill="1" applyBorder="1"/>
    <xf numFmtId="164" fontId="24" fillId="2" borderId="12" xfId="1" applyNumberFormat="1" applyFont="1" applyFill="1" applyBorder="1" applyAlignment="1">
      <alignment horizontal="left"/>
    </xf>
    <xf numFmtId="164" fontId="24" fillId="2" borderId="3" xfId="1" applyNumberFormat="1" applyFont="1" applyFill="1" applyBorder="1" applyAlignment="1">
      <alignment horizontal="left"/>
    </xf>
    <xf numFmtId="0" fontId="17" fillId="0" borderId="29" xfId="0" applyFont="1" applyBorder="1"/>
    <xf numFmtId="165" fontId="9" fillId="2" borderId="4" xfId="3" applyNumberFormat="1" applyFont="1" applyFill="1" applyBorder="1"/>
    <xf numFmtId="165" fontId="9" fillId="2" borderId="5" xfId="3" applyNumberFormat="1" applyFont="1" applyFill="1" applyBorder="1"/>
    <xf numFmtId="165" fontId="17" fillId="2" borderId="14" xfId="0" applyNumberFormat="1" applyFont="1" applyFill="1" applyBorder="1"/>
    <xf numFmtId="165" fontId="9" fillId="2" borderId="5" xfId="0" applyNumberFormat="1" applyFont="1" applyFill="1" applyBorder="1"/>
    <xf numFmtId="165" fontId="12" fillId="2" borderId="14" xfId="0" applyNumberFormat="1" applyFont="1" applyFill="1" applyBorder="1"/>
    <xf numFmtId="3" fontId="17" fillId="5" borderId="20" xfId="1" applyNumberFormat="1" applyFont="1" applyFill="1" applyBorder="1" applyAlignment="1">
      <alignment horizontal="right" vertical="center"/>
    </xf>
    <xf numFmtId="3" fontId="17" fillId="5" borderId="20" xfId="0" applyNumberFormat="1" applyFont="1" applyFill="1" applyBorder="1" applyAlignment="1">
      <alignment horizontal="right" vertical="center"/>
    </xf>
    <xf numFmtId="3" fontId="17" fillId="5" borderId="20" xfId="0" applyNumberFormat="1" applyFont="1" applyFill="1" applyBorder="1" applyAlignment="1">
      <alignment horizontal="right" vertical="top"/>
    </xf>
    <xf numFmtId="3" fontId="17" fillId="5" borderId="48" xfId="0" applyNumberFormat="1" applyFont="1" applyFill="1" applyBorder="1" applyAlignment="1">
      <alignment horizontal="right" vertical="top"/>
    </xf>
    <xf numFmtId="165" fontId="17" fillId="5" borderId="3" xfId="4" applyNumberFormat="1" applyFont="1" applyFill="1" applyBorder="1" applyAlignment="1"/>
    <xf numFmtId="165" fontId="9" fillId="5" borderId="2" xfId="4" applyNumberFormat="1" applyFont="1" applyFill="1" applyBorder="1"/>
    <xf numFmtId="165" fontId="10" fillId="5" borderId="4" xfId="4" applyNumberFormat="1" applyFont="1" applyFill="1" applyBorder="1" applyAlignment="1">
      <alignment vertical="center"/>
    </xf>
    <xf numFmtId="165" fontId="10" fillId="5" borderId="48" xfId="4" applyNumberFormat="1" applyFont="1" applyFill="1" applyBorder="1" applyAlignment="1">
      <alignment vertical="center"/>
    </xf>
    <xf numFmtId="165" fontId="9" fillId="5" borderId="4" xfId="4" applyNumberFormat="1" applyFont="1" applyFill="1" applyBorder="1" applyAlignment="1">
      <alignment horizontal="right" vertical="center"/>
    </xf>
    <xf numFmtId="165" fontId="10" fillId="5" borderId="4" xfId="4" applyNumberFormat="1" applyFont="1" applyFill="1" applyBorder="1" applyAlignment="1">
      <alignment horizontal="right" vertical="center"/>
    </xf>
    <xf numFmtId="165" fontId="10" fillId="5" borderId="48" xfId="4" applyNumberFormat="1" applyFont="1" applyFill="1" applyBorder="1" applyAlignment="1">
      <alignment horizontal="right" vertical="center"/>
    </xf>
    <xf numFmtId="165" fontId="12" fillId="5" borderId="4" xfId="4" applyNumberFormat="1" applyFont="1" applyFill="1" applyBorder="1" applyAlignment="1">
      <alignment horizontal="right" vertical="top"/>
    </xf>
    <xf numFmtId="165" fontId="10" fillId="5" borderId="4" xfId="4" applyNumberFormat="1" applyFont="1" applyFill="1" applyBorder="1"/>
    <xf numFmtId="165" fontId="10" fillId="5" borderId="48" xfId="4" applyNumberFormat="1" applyFont="1" applyFill="1" applyBorder="1"/>
    <xf numFmtId="165" fontId="17" fillId="5" borderId="4" xfId="4" applyNumberFormat="1" applyFont="1" applyFill="1" applyBorder="1" applyAlignment="1">
      <alignment horizontal="left" vertical="center"/>
    </xf>
    <xf numFmtId="165" fontId="17" fillId="5" borderId="4" xfId="0" applyNumberFormat="1" applyFont="1" applyFill="1" applyBorder="1"/>
    <xf numFmtId="165" fontId="17" fillId="5" borderId="4" xfId="3" applyNumberFormat="1" applyFont="1" applyFill="1" applyBorder="1" applyAlignment="1">
      <alignment horizontal="right" vertical="center"/>
    </xf>
    <xf numFmtId="164" fontId="17" fillId="5" borderId="3" xfId="1" applyNumberFormat="1" applyFont="1" applyFill="1" applyBorder="1" applyAlignment="1">
      <alignment horizontal="left"/>
    </xf>
    <xf numFmtId="0" fontId="9" fillId="5" borderId="2" xfId="0" applyFont="1" applyFill="1" applyBorder="1"/>
    <xf numFmtId="165" fontId="9" fillId="5" borderId="4" xfId="3" applyNumberFormat="1" applyFont="1" applyFill="1" applyBorder="1"/>
    <xf numFmtId="165" fontId="9" fillId="5" borderId="5" xfId="3" applyNumberFormat="1" applyFont="1" applyFill="1" applyBorder="1"/>
    <xf numFmtId="165" fontId="9" fillId="5" borderId="4" xfId="0" applyNumberFormat="1" applyFont="1" applyFill="1" applyBorder="1"/>
    <xf numFmtId="165" fontId="9" fillId="5" borderId="5" xfId="0" applyNumberFormat="1" applyFont="1" applyFill="1" applyBorder="1"/>
    <xf numFmtId="165" fontId="37" fillId="2" borderId="4" xfId="3" applyNumberFormat="1" applyFont="1" applyFill="1" applyBorder="1"/>
    <xf numFmtId="165" fontId="37" fillId="2" borderId="4" xfId="0" applyNumberFormat="1" applyFont="1" applyFill="1" applyBorder="1"/>
    <xf numFmtId="165" fontId="2" fillId="2" borderId="55" xfId="4" applyNumberFormat="1" applyFont="1" applyFill="1" applyBorder="1"/>
    <xf numFmtId="165" fontId="2" fillId="2" borderId="55" xfId="4" applyNumberFormat="1" applyFont="1" applyFill="1" applyBorder="1" applyAlignment="1">
      <alignment vertical="center"/>
    </xf>
    <xf numFmtId="165" fontId="2" fillId="2" borderId="55" xfId="4" applyNumberFormat="1" applyFont="1" applyFill="1" applyBorder="1" applyAlignment="1">
      <alignment horizontal="right"/>
    </xf>
    <xf numFmtId="165" fontId="2" fillId="2" borderId="59" xfId="4" applyNumberFormat="1" applyFont="1" applyFill="1" applyBorder="1"/>
    <xf numFmtId="164" fontId="0" fillId="0" borderId="0" xfId="1" applyNumberFormat="1" applyFont="1"/>
    <xf numFmtId="164" fontId="0" fillId="9" borderId="0" xfId="0" applyNumberFormat="1" applyFill="1"/>
    <xf numFmtId="0" fontId="0" fillId="9" borderId="0" xfId="0" applyFill="1"/>
    <xf numFmtId="0" fontId="11" fillId="7" borderId="58" xfId="0" applyFont="1" applyFill="1" applyBorder="1" applyAlignment="1">
      <alignment horizontal="center"/>
    </xf>
    <xf numFmtId="164" fontId="11" fillId="0" borderId="4" xfId="1" applyNumberFormat="1" applyFont="1" applyBorder="1"/>
    <xf numFmtId="164" fontId="22" fillId="0" borderId="4" xfId="1" applyNumberFormat="1" applyFont="1" applyBorder="1"/>
    <xf numFmtId="164" fontId="0" fillId="0" borderId="4" xfId="1" applyNumberFormat="1" applyFont="1" applyBorder="1"/>
    <xf numFmtId="0" fontId="0" fillId="0" borderId="4" xfId="0" applyBorder="1"/>
    <xf numFmtId="0" fontId="11" fillId="0" borderId="58" xfId="0" applyFont="1" applyBorder="1" applyAlignment="1">
      <alignment horizontal="center"/>
    </xf>
    <xf numFmtId="166" fontId="11" fillId="0" borderId="0" xfId="5" applyNumberFormat="1" applyFont="1" applyBorder="1" applyAlignment="1">
      <alignment horizontal="center"/>
    </xf>
    <xf numFmtId="166" fontId="11" fillId="2" borderId="14" xfId="5" applyNumberFormat="1" applyFont="1" applyFill="1" applyBorder="1" applyAlignment="1">
      <alignment horizontal="center"/>
    </xf>
    <xf numFmtId="166" fontId="11" fillId="2" borderId="43" xfId="5" applyNumberFormat="1" applyFont="1" applyFill="1" applyBorder="1" applyAlignment="1">
      <alignment horizontal="center"/>
    </xf>
    <xf numFmtId="166" fontId="11" fillId="5" borderId="0" xfId="5" applyNumberFormat="1" applyFont="1" applyFill="1" applyBorder="1" applyAlignment="1">
      <alignment horizontal="center"/>
    </xf>
    <xf numFmtId="166" fontId="11" fillId="0" borderId="4" xfId="5" applyNumberFormat="1" applyFont="1" applyBorder="1" applyAlignment="1">
      <alignment horizontal="center"/>
    </xf>
    <xf numFmtId="0" fontId="11" fillId="0" borderId="18" xfId="0" applyFont="1" applyBorder="1"/>
    <xf numFmtId="0" fontId="11" fillId="0" borderId="18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42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2" fillId="0" borderId="51" xfId="0" applyFont="1" applyBorder="1"/>
    <xf numFmtId="0" fontId="22" fillId="0" borderId="52" xfId="0" applyFont="1" applyBorder="1"/>
    <xf numFmtId="0" fontId="22" fillId="0" borderId="52" xfId="0" applyFont="1" applyFill="1" applyBorder="1"/>
    <xf numFmtId="0" fontId="0" fillId="0" borderId="52" xfId="0" applyBorder="1"/>
    <xf numFmtId="0" fontId="0" fillId="0" borderId="53" xfId="0" applyBorder="1"/>
    <xf numFmtId="44" fontId="22" fillId="0" borderId="0" xfId="1" applyFont="1"/>
    <xf numFmtId="0" fontId="0" fillId="0" borderId="0" xfId="0" applyAlignment="1">
      <alignment horizontal="center"/>
    </xf>
    <xf numFmtId="164" fontId="1" fillId="0" borderId="0" xfId="0" applyNumberFormat="1" applyFont="1"/>
    <xf numFmtId="164" fontId="1" fillId="9" borderId="0" xfId="0" applyNumberFormat="1" applyFont="1" applyFill="1"/>
    <xf numFmtId="0" fontId="11" fillId="0" borderId="58" xfId="0" applyFont="1" applyBorder="1"/>
    <xf numFmtId="0" fontId="11" fillId="5" borderId="58" xfId="0" applyFont="1" applyFill="1" applyBorder="1" applyAlignment="1">
      <alignment horizontal="center"/>
    </xf>
    <xf numFmtId="0" fontId="6" fillId="10" borderId="13" xfId="0" applyFont="1" applyFill="1" applyBorder="1"/>
    <xf numFmtId="0" fontId="0" fillId="10" borderId="8" xfId="0" applyFill="1" applyBorder="1"/>
    <xf numFmtId="0" fontId="0" fillId="10" borderId="41" xfId="0" applyFill="1" applyBorder="1"/>
    <xf numFmtId="0" fontId="0" fillId="10" borderId="14" xfId="0" applyFill="1" applyBorder="1"/>
    <xf numFmtId="0" fontId="0" fillId="10" borderId="0" xfId="0" applyFill="1" applyBorder="1"/>
    <xf numFmtId="0" fontId="0" fillId="10" borderId="43" xfId="0" applyFill="1" applyBorder="1"/>
    <xf numFmtId="0" fontId="0" fillId="10" borderId="18" xfId="0" applyFill="1" applyBorder="1"/>
    <xf numFmtId="0" fontId="0" fillId="10" borderId="1" xfId="0" applyFill="1" applyBorder="1"/>
    <xf numFmtId="0" fontId="0" fillId="10" borderId="42" xfId="0" applyFill="1" applyBorder="1"/>
    <xf numFmtId="0" fontId="11" fillId="0" borderId="13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</cellXfs>
  <cellStyles count="7">
    <cellStyle name="Comma" xfId="4" builtinId="3"/>
    <cellStyle name="Comma 2" xfId="3"/>
    <cellStyle name="Currency" xfId="1" builtinId="4"/>
    <cellStyle name="Normal" xfId="0" builtinId="0"/>
    <cellStyle name="Normal 2" xfId="2"/>
    <cellStyle name="Normal_Sheet1" xfId="6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1"/>
              <a:t>EOY Operating Fund Balance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695260120456973E-2"/>
          <c:y val="8.9023405972558534E-2"/>
          <c:w val="0.91166471323951637"/>
          <c:h val="0.8378039609455597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'EOY Bal Chart'!$A$30:$A$43</c:f>
              <c:strCache>
                <c:ptCount val="14"/>
                <c:pt idx="0">
                  <c:v>FY'16</c:v>
                </c:pt>
                <c:pt idx="1">
                  <c:v>FY'17</c:v>
                </c:pt>
                <c:pt idx="2">
                  <c:v>FY'18</c:v>
                </c:pt>
                <c:pt idx="3">
                  <c:v>FY'19</c:v>
                </c:pt>
                <c:pt idx="4">
                  <c:v>FY'20</c:v>
                </c:pt>
                <c:pt idx="5">
                  <c:v>FY'21</c:v>
                </c:pt>
                <c:pt idx="6">
                  <c:v>FY'22</c:v>
                </c:pt>
                <c:pt idx="7">
                  <c:v>FY'23</c:v>
                </c:pt>
                <c:pt idx="8">
                  <c:v>FY'24</c:v>
                </c:pt>
                <c:pt idx="9">
                  <c:v>FY'25</c:v>
                </c:pt>
                <c:pt idx="10">
                  <c:v>FY'26</c:v>
                </c:pt>
                <c:pt idx="11">
                  <c:v>FY'27</c:v>
                </c:pt>
                <c:pt idx="12">
                  <c:v>FY'28</c:v>
                </c:pt>
                <c:pt idx="13">
                  <c:v>FY'29</c:v>
                </c:pt>
              </c:strCache>
            </c:strRef>
          </c:cat>
          <c:val>
            <c:numRef>
              <c:f>'EOY Bal Chart'!$B$30:$B$43</c:f>
              <c:numCache>
                <c:formatCode>0.00%</c:formatCode>
                <c:ptCount val="14"/>
                <c:pt idx="0">
                  <c:v>6.0600000000000001E-2</c:v>
                </c:pt>
                <c:pt idx="1">
                  <c:v>9.8599999999999993E-2</c:v>
                </c:pt>
                <c:pt idx="2">
                  <c:v>0.12330000000000001</c:v>
                </c:pt>
                <c:pt idx="3">
                  <c:v>0.2044</c:v>
                </c:pt>
                <c:pt idx="4">
                  <c:v>0.48010000000000003</c:v>
                </c:pt>
                <c:pt idx="5">
                  <c:v>0.36509999999999998</c:v>
                </c:pt>
                <c:pt idx="6">
                  <c:v>0.37832474474282241</c:v>
                </c:pt>
                <c:pt idx="7">
                  <c:v>0.4248954689309391</c:v>
                </c:pt>
                <c:pt idx="8">
                  <c:v>0.48396840053454893</c:v>
                </c:pt>
                <c:pt idx="9">
                  <c:v>0.5227909879174002</c:v>
                </c:pt>
                <c:pt idx="10">
                  <c:v>0.5340861010346224</c:v>
                </c:pt>
                <c:pt idx="11">
                  <c:v>0.53460929015351211</c:v>
                </c:pt>
                <c:pt idx="12">
                  <c:v>0.5295860918044244</c:v>
                </c:pt>
                <c:pt idx="13">
                  <c:v>0.51696920884812814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F-4DBB-A37E-0300E28F1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629535"/>
        <c:axId val="1131629951"/>
      </c:lineChart>
      <c:catAx>
        <c:axId val="113162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629951"/>
        <c:crosses val="autoZero"/>
        <c:auto val="1"/>
        <c:lblAlgn val="ctr"/>
        <c:lblOffset val="100"/>
        <c:noMultiLvlLbl val="0"/>
      </c:catAx>
      <c:valAx>
        <c:axId val="113162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629535"/>
        <c:crosses val="autoZero"/>
        <c:crossBetween val="between"/>
      </c:valAx>
      <c:spPr>
        <a:solidFill>
          <a:schemeClr val="tx2">
            <a:lumMod val="20000"/>
            <a:lumOff val="80000"/>
          </a:schemeClr>
        </a:solidFill>
        <a:ln w="57150">
          <a:solidFill>
            <a:schemeClr val="accent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SOURCES OF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246307376652953E-2"/>
          <c:y val="0.12596020469508351"/>
          <c:w val="0.75805018745098884"/>
          <c:h val="0.777781785656681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2DC-41EF-944D-1E108A1847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2DC-41EF-944D-1E108A1847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2DC-41EF-944D-1E108A1847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2DC-41EF-944D-1E108A184736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 Exp Charts'!$E$30:$E$33</c:f>
              <c:strCache>
                <c:ptCount val="4"/>
                <c:pt idx="0">
                  <c:v>LOCAL</c:v>
                </c:pt>
                <c:pt idx="1">
                  <c:v>STATE</c:v>
                </c:pt>
                <c:pt idx="2">
                  <c:v>FEDERAL</c:v>
                </c:pt>
                <c:pt idx="3">
                  <c:v>FED ESSER</c:v>
                </c:pt>
              </c:strCache>
            </c:strRef>
          </c:cat>
          <c:val>
            <c:numRef>
              <c:f>'Rev Exp Charts'!$F$30:$F$33</c:f>
              <c:numCache>
                <c:formatCode>0%</c:formatCode>
                <c:ptCount val="4"/>
                <c:pt idx="0">
                  <c:v>0.11529801885240096</c:v>
                </c:pt>
                <c:pt idx="1">
                  <c:v>0.79070916702123861</c:v>
                </c:pt>
                <c:pt idx="2">
                  <c:v>9.3992814126360402E-2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D-4786-88DD-4F157B02820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230792025686616"/>
          <c:y val="0.36957319110621378"/>
          <c:w val="0.165285131852315"/>
          <c:h val="0.2899270244280689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57150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90748118636565E-2"/>
          <c:y val="0.17191276013098983"/>
          <c:w val="0.7334434789276838"/>
          <c:h val="0.790247542586588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3B2-4DA2-9DA4-39C9D3DE32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3B2-4DA2-9DA4-39C9D3DE32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3B2-4DA2-9DA4-39C9D3DE32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3B2-4DA2-9DA4-39C9D3DE32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3B2-4DA2-9DA4-39C9D3DE326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 Exp Charts'!$E$64:$E$68</c:f>
              <c:strCache>
                <c:ptCount val="5"/>
                <c:pt idx="0">
                  <c:v>SALARIES</c:v>
                </c:pt>
                <c:pt idx="1">
                  <c:v>BENEFITS</c:v>
                </c:pt>
                <c:pt idx="2">
                  <c:v>PURCH SVCS</c:v>
                </c:pt>
                <c:pt idx="3">
                  <c:v>SUPPLIES</c:v>
                </c:pt>
                <c:pt idx="4">
                  <c:v>CAPITAL</c:v>
                </c:pt>
              </c:strCache>
            </c:strRef>
          </c:cat>
          <c:val>
            <c:numRef>
              <c:f>'Rev Exp Charts'!$F$64:$F$68</c:f>
              <c:numCache>
                <c:formatCode>0%</c:formatCode>
                <c:ptCount val="5"/>
                <c:pt idx="0">
                  <c:v>0.45944566732525105</c:v>
                </c:pt>
                <c:pt idx="1">
                  <c:v>0.12902886445989908</c:v>
                </c:pt>
                <c:pt idx="2">
                  <c:v>0.2809977472871637</c:v>
                </c:pt>
                <c:pt idx="3">
                  <c:v>0.11538242712229756</c:v>
                </c:pt>
                <c:pt idx="4">
                  <c:v>1.5145293805388583E-2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E-4821-8BF8-6D4CA3D987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57150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29</xdr:row>
      <xdr:rowOff>22860</xdr:rowOff>
    </xdr:from>
    <xdr:to>
      <xdr:col>4</xdr:col>
      <xdr:colOff>472440</xdr:colOff>
      <xdr:row>29</xdr:row>
      <xdr:rowOff>167640</xdr:rowOff>
    </xdr:to>
    <xdr:cxnSp macro="">
      <xdr:nvCxnSpPr>
        <xdr:cNvPr id="3" name="Straight Arrow Connector 2"/>
        <xdr:cNvCxnSpPr/>
      </xdr:nvCxnSpPr>
      <xdr:spPr>
        <a:xfrm flipH="1" flipV="1">
          <a:off x="4808220" y="5958840"/>
          <a:ext cx="7620" cy="14478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579120</xdr:colOff>
      <xdr:row>0</xdr:row>
      <xdr:rowOff>171450</xdr:rowOff>
    </xdr:from>
    <xdr:to>
      <xdr:col>12</xdr:col>
      <xdr:colOff>83820</xdr:colOff>
      <xdr:row>26</xdr:row>
      <xdr:rowOff>137160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0.62438</cdr:x>
      <cdr:y>0.09766</cdr:y>
    </cdr:from>
    <cdr:to>
      <cdr:x>0.62837</cdr:x>
      <cdr:y>0.92736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4762500" y="461010"/>
          <a:ext cx="30480" cy="391668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49530</xdr:rowOff>
    </xdr:from>
    <xdr:to>
      <xdr:col>11</xdr:col>
      <xdr:colOff>548640</xdr:colOff>
      <xdr:row>27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167640</xdr:colOff>
      <xdr:row>34</xdr:row>
      <xdr:rowOff>60960</xdr:rowOff>
    </xdr:from>
    <xdr:to>
      <xdr:col>11</xdr:col>
      <xdr:colOff>579120</xdr:colOff>
      <xdr:row>61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82"/>
  <sheetViews>
    <sheetView zoomScaleNormal="100" workbookViewId="0">
      <selection activeCell="O23" sqref="O23"/>
    </sheetView>
  </sheetViews>
  <sheetFormatPr defaultRowHeight="14.4" x14ac:dyDescent="0.3"/>
  <cols>
    <col min="1" max="1" width="21.44140625" bestFit="1" customWidth="1"/>
    <col min="2" max="2" width="15.6640625" style="188" customWidth="1"/>
    <col min="3" max="3" width="13.33203125" style="188" bestFit="1" customWidth="1"/>
    <col min="4" max="4" width="2.109375" customWidth="1"/>
    <col min="5" max="5" width="14.5546875" hidden="1" customWidth="1"/>
    <col min="6" max="6" width="15.77734375" hidden="1" customWidth="1"/>
    <col min="7" max="8" width="13.77734375" style="32" customWidth="1"/>
    <col min="9" max="9" width="13.77734375" customWidth="1"/>
    <col min="10" max="10" width="2.21875" customWidth="1"/>
    <col min="11" max="15" width="13.77734375" customWidth="1"/>
  </cols>
  <sheetData>
    <row r="1" spans="1:15" ht="15" thickBot="1" x14ac:dyDescent="0.35"/>
    <row r="2" spans="1:15" ht="15.6" x14ac:dyDescent="0.3">
      <c r="A2" s="693" t="s">
        <v>40</v>
      </c>
      <c r="B2" s="228" t="s">
        <v>1</v>
      </c>
      <c r="C2" s="228" t="s">
        <v>107</v>
      </c>
      <c r="D2" s="163"/>
      <c r="E2" s="164" t="s">
        <v>1</v>
      </c>
      <c r="F2" s="165" t="s">
        <v>1</v>
      </c>
      <c r="G2" s="288" t="s">
        <v>141</v>
      </c>
      <c r="H2" s="289" t="s">
        <v>141</v>
      </c>
      <c r="I2" s="289" t="s">
        <v>141</v>
      </c>
      <c r="J2" s="210"/>
      <c r="K2" s="583" t="s">
        <v>142</v>
      </c>
      <c r="L2" s="162" t="s">
        <v>173</v>
      </c>
      <c r="M2" s="162" t="s">
        <v>181</v>
      </c>
      <c r="N2" s="162" t="s">
        <v>182</v>
      </c>
      <c r="O2" s="162" t="s">
        <v>211</v>
      </c>
    </row>
    <row r="3" spans="1:15" ht="16.2" thickBot="1" x14ac:dyDescent="0.35">
      <c r="A3" s="694"/>
      <c r="B3" s="229" t="s">
        <v>31</v>
      </c>
      <c r="C3" s="229" t="s">
        <v>171</v>
      </c>
      <c r="D3" s="166"/>
      <c r="E3" s="167" t="s">
        <v>32</v>
      </c>
      <c r="F3" s="168" t="s">
        <v>33</v>
      </c>
      <c r="G3" s="290" t="s">
        <v>108</v>
      </c>
      <c r="H3" s="291" t="s">
        <v>111</v>
      </c>
      <c r="I3" s="291" t="s">
        <v>200</v>
      </c>
      <c r="J3" s="211"/>
      <c r="K3" s="584" t="s">
        <v>108</v>
      </c>
      <c r="L3" s="169" t="s">
        <v>110</v>
      </c>
      <c r="M3" s="169" t="s">
        <v>110</v>
      </c>
      <c r="N3" s="169" t="s">
        <v>110</v>
      </c>
      <c r="O3" s="169" t="s">
        <v>110</v>
      </c>
    </row>
    <row r="4" spans="1:15" x14ac:dyDescent="0.3">
      <c r="A4" s="18" t="s">
        <v>41</v>
      </c>
      <c r="B4" s="230">
        <f>REVENUE!H13</f>
        <v>719778.27</v>
      </c>
      <c r="C4" s="321">
        <f>REVENUE!I13</f>
        <v>886729.26</v>
      </c>
      <c r="D4" s="40"/>
      <c r="E4" s="21">
        <f>REVENUE!K13</f>
        <v>797242</v>
      </c>
      <c r="F4" s="24">
        <f>REVENUE!L13</f>
        <v>953804</v>
      </c>
      <c r="G4" s="292">
        <f>REVENUE!M13</f>
        <v>831550</v>
      </c>
      <c r="H4" s="293">
        <f>REVENUE!N13</f>
        <v>818183.19000000006</v>
      </c>
      <c r="I4" s="293">
        <f>REVENUE!O13</f>
        <v>948050</v>
      </c>
      <c r="J4" s="212"/>
      <c r="K4" s="585">
        <f>REVENUE!R13</f>
        <v>866050</v>
      </c>
      <c r="L4" s="15">
        <f>REVENUE!S13</f>
        <v>879400</v>
      </c>
      <c r="M4" s="15">
        <f>REVENUE!V13</f>
        <v>893267</v>
      </c>
      <c r="N4" s="15">
        <f>REVENUE!W13</f>
        <v>912668.84</v>
      </c>
      <c r="O4" s="15">
        <f>REVENUE!X13</f>
        <v>932624.09179999994</v>
      </c>
    </row>
    <row r="5" spans="1:15" x14ac:dyDescent="0.3">
      <c r="A5" s="19" t="s">
        <v>42</v>
      </c>
      <c r="B5" s="231">
        <f>REVENUE!H26</f>
        <v>5031728.54</v>
      </c>
      <c r="C5" s="322">
        <f>REVENUE!I26</f>
        <v>5740121.040000001</v>
      </c>
      <c r="D5" s="41"/>
      <c r="E5" s="22">
        <f>REVENUE!K26</f>
        <v>4860284</v>
      </c>
      <c r="F5" s="25">
        <f>REVENUE!L26</f>
        <v>4634563</v>
      </c>
      <c r="G5" s="294">
        <f>REVENUE!M26</f>
        <v>6036830</v>
      </c>
      <c r="H5" s="295">
        <f>REVENUE!N26</f>
        <v>4726432.6399999997</v>
      </c>
      <c r="I5" s="295">
        <f>REVENUE!O26</f>
        <v>5642174</v>
      </c>
      <c r="J5" s="213"/>
      <c r="K5" s="586">
        <f>REVENUE!R26</f>
        <v>5939336</v>
      </c>
      <c r="L5" s="16">
        <f>REVENUE!S26</f>
        <v>6252601</v>
      </c>
      <c r="M5" s="16">
        <f>REVENUE!V26</f>
        <v>6431649</v>
      </c>
      <c r="N5" s="16">
        <f>REVENUE!W26</f>
        <v>6544030.2599999998</v>
      </c>
      <c r="O5" s="16">
        <f>REVENUE!X26</f>
        <v>6667906.3477999996</v>
      </c>
    </row>
    <row r="6" spans="1:15" x14ac:dyDescent="0.3">
      <c r="A6" s="35" t="s">
        <v>43</v>
      </c>
      <c r="B6" s="232">
        <f>REVENUE!H51-SUM(REVENUE!H30:H36)</f>
        <v>840474.95000000019</v>
      </c>
      <c r="C6" s="323">
        <f>REVENUE!I51-SUM(REVENUE!I30:I36)</f>
        <v>806276.88000000012</v>
      </c>
      <c r="D6" s="38"/>
      <c r="E6" s="42">
        <f>REVENUE!K51-SUM(REVENUE!K30:K36)</f>
        <v>679771</v>
      </c>
      <c r="F6" s="36">
        <f>REVENUE!L51-SUM(REVENUE!L30:L36)</f>
        <v>681771</v>
      </c>
      <c r="G6" s="296">
        <f>REVENUE!M51-SUM(REVENUE!M30:M36)</f>
        <v>706367</v>
      </c>
      <c r="H6" s="296">
        <f>REVENUE!N51-SUM(REVENUE!N30:N36)</f>
        <v>699615.56999999983</v>
      </c>
      <c r="I6" s="296">
        <f>REVENUE!O51-SUM(REVENUE!O30:O36)</f>
        <v>792080</v>
      </c>
      <c r="J6" s="214"/>
      <c r="K6" s="587">
        <f>REVENUE!R51-SUM(REVENUE!R30:R36)</f>
        <v>706018</v>
      </c>
      <c r="L6" s="36">
        <f>REVENUE!S51-SUM(REVENUE!S30:S36)</f>
        <v>720138.36</v>
      </c>
      <c r="M6" s="36">
        <f>REVENUE!V51</f>
        <v>734541.1272000001</v>
      </c>
      <c r="N6" s="36">
        <f>REVENUE!W51</f>
        <v>749231.94974399987</v>
      </c>
      <c r="O6" s="36">
        <f>REVENUE!X51</f>
        <v>764216.58873888012</v>
      </c>
    </row>
    <row r="7" spans="1:15" ht="15" thickBot="1" x14ac:dyDescent="0.35">
      <c r="A7" s="20" t="s">
        <v>116</v>
      </c>
      <c r="B7" s="233">
        <f>SUM(REVENUE!H30:H36)</f>
        <v>752912.99</v>
      </c>
      <c r="C7" s="324">
        <f>SUM(REVENUE!I30:I36)</f>
        <v>1168935.78</v>
      </c>
      <c r="D7" s="39"/>
      <c r="E7" s="43">
        <f>SUM(REVENUE!K30:K36)</f>
        <v>876094</v>
      </c>
      <c r="F7" s="17">
        <f>SUM(REVENUE!L30:L36)</f>
        <v>994807</v>
      </c>
      <c r="G7" s="297">
        <f>SUM(REVENUE!M30:M36)</f>
        <v>1238270</v>
      </c>
      <c r="H7" s="297">
        <f>SUM(REVENUE!N30:N36)</f>
        <v>913386.52</v>
      </c>
      <c r="I7" s="297">
        <f>SUM(REVENUE!O30:O36)</f>
        <v>1308694</v>
      </c>
      <c r="J7" s="215"/>
      <c r="K7" s="588">
        <f>SUM(REVENUE!R30:R36)</f>
        <v>0</v>
      </c>
      <c r="L7" s="17">
        <f>SUM(REVENUE!S30:S36)</f>
        <v>0</v>
      </c>
      <c r="M7" s="17">
        <f>SUM(REVENUE!T30:T36)</f>
        <v>0</v>
      </c>
      <c r="N7" s="17">
        <f>SUM(REVENUE!U30:U36)</f>
        <v>0</v>
      </c>
      <c r="O7" s="17">
        <f>SUM(REVENUE!V30:V36)</f>
        <v>0</v>
      </c>
    </row>
    <row r="8" spans="1:15" ht="16.8" thickTop="1" thickBot="1" x14ac:dyDescent="0.35">
      <c r="A8" s="173" t="s">
        <v>53</v>
      </c>
      <c r="B8" s="234">
        <f>SUM(B4:B7)</f>
        <v>7344894.7500000009</v>
      </c>
      <c r="C8" s="325">
        <f>SUM(C4:C7)</f>
        <v>8602062.9600000009</v>
      </c>
      <c r="D8" s="171"/>
      <c r="E8" s="172">
        <f t="shared" ref="E8:I8" si="0">SUM(E4:E7)</f>
        <v>7213391</v>
      </c>
      <c r="F8" s="170">
        <f t="shared" si="0"/>
        <v>7264945</v>
      </c>
      <c r="G8" s="298">
        <f t="shared" si="0"/>
        <v>8813017</v>
      </c>
      <c r="H8" s="298">
        <f t="shared" si="0"/>
        <v>7157617.9199999999</v>
      </c>
      <c r="I8" s="298">
        <f t="shared" si="0"/>
        <v>8690998</v>
      </c>
      <c r="J8" s="216"/>
      <c r="K8" s="589">
        <f t="shared" ref="K8" si="1">SUM(K4:K7)</f>
        <v>7511404</v>
      </c>
      <c r="L8" s="170">
        <f t="shared" ref="L8:N8" si="2">SUM(L4:L7)</f>
        <v>7852139.3600000003</v>
      </c>
      <c r="M8" s="170">
        <f t="shared" si="2"/>
        <v>8059457.1272</v>
      </c>
      <c r="N8" s="170">
        <f t="shared" si="2"/>
        <v>8205931.0497439997</v>
      </c>
      <c r="O8" s="170">
        <f t="shared" ref="O8" si="3">SUM(O4:O7)</f>
        <v>8364747.0283388793</v>
      </c>
    </row>
    <row r="9" spans="1:15" x14ac:dyDescent="0.3">
      <c r="A9" s="57"/>
      <c r="B9" s="235"/>
      <c r="C9" s="326"/>
      <c r="D9" s="57"/>
      <c r="E9" s="92"/>
      <c r="F9" s="57"/>
      <c r="G9" s="206"/>
      <c r="H9" s="363"/>
      <c r="I9" s="363"/>
      <c r="J9" s="206"/>
      <c r="K9" s="57"/>
      <c r="L9" s="57"/>
      <c r="M9" s="57"/>
      <c r="N9" s="57"/>
      <c r="O9" s="57"/>
    </row>
    <row r="10" spans="1:15" ht="15" thickBot="1" x14ac:dyDescent="0.35">
      <c r="A10" s="57"/>
      <c r="B10" s="235"/>
      <c r="C10" s="326"/>
      <c r="D10" s="57"/>
      <c r="E10" s="92"/>
      <c r="F10" s="57"/>
      <c r="G10" s="206"/>
      <c r="H10" s="363"/>
      <c r="I10" s="363"/>
      <c r="J10" s="206"/>
      <c r="K10" s="57"/>
      <c r="L10" s="57"/>
      <c r="M10" s="57"/>
      <c r="N10" s="57"/>
      <c r="O10" s="57"/>
    </row>
    <row r="11" spans="1:15" ht="15.6" x14ac:dyDescent="0.3">
      <c r="A11" s="693" t="s">
        <v>46</v>
      </c>
      <c r="B11" s="228" t="s">
        <v>1</v>
      </c>
      <c r="C11" s="228" t="s">
        <v>107</v>
      </c>
      <c r="D11" s="163"/>
      <c r="E11" s="164" t="s">
        <v>1</v>
      </c>
      <c r="F11" s="165" t="s">
        <v>1</v>
      </c>
      <c r="G11" s="299" t="s">
        <v>141</v>
      </c>
      <c r="H11" s="289" t="s">
        <v>141</v>
      </c>
      <c r="I11" s="289" t="s">
        <v>141</v>
      </c>
      <c r="J11" s="217"/>
      <c r="K11" s="583" t="s">
        <v>142</v>
      </c>
      <c r="L11" s="162" t="s">
        <v>173</v>
      </c>
      <c r="M11" s="162" t="s">
        <v>181</v>
      </c>
      <c r="N11" s="162" t="s">
        <v>182</v>
      </c>
      <c r="O11" s="162" t="s">
        <v>182</v>
      </c>
    </row>
    <row r="12" spans="1:15" ht="16.2" thickBot="1" x14ac:dyDescent="0.35">
      <c r="A12" s="694"/>
      <c r="B12" s="229" t="s">
        <v>31</v>
      </c>
      <c r="C12" s="229" t="s">
        <v>171</v>
      </c>
      <c r="D12" s="166"/>
      <c r="E12" s="167" t="s">
        <v>32</v>
      </c>
      <c r="F12" s="168" t="s">
        <v>33</v>
      </c>
      <c r="G12" s="300" t="s">
        <v>108</v>
      </c>
      <c r="H12" s="291" t="s">
        <v>111</v>
      </c>
      <c r="I12" s="291" t="s">
        <v>200</v>
      </c>
      <c r="J12" s="218"/>
      <c r="K12" s="584" t="s">
        <v>108</v>
      </c>
      <c r="L12" s="169" t="s">
        <v>110</v>
      </c>
      <c r="M12" s="169" t="s">
        <v>110</v>
      </c>
      <c r="N12" s="169" t="s">
        <v>110</v>
      </c>
      <c r="O12" s="169" t="s">
        <v>110</v>
      </c>
    </row>
    <row r="13" spans="1:15" x14ac:dyDescent="0.3">
      <c r="A13" s="18" t="s">
        <v>47</v>
      </c>
      <c r="B13" s="321">
        <f>EXPENDITURES!D11</f>
        <v>3082634.57</v>
      </c>
      <c r="C13" s="321">
        <f>EXPENDITURES!E11</f>
        <v>3231593.74</v>
      </c>
      <c r="D13" s="40"/>
      <c r="E13" s="21" t="e">
        <f>#REF!</f>
        <v>#REF!</v>
      </c>
      <c r="F13" s="24" t="e">
        <f>#REF!</f>
        <v>#REF!</v>
      </c>
      <c r="G13" s="317">
        <f>EXPENDITURES!I11</f>
        <v>3643902</v>
      </c>
      <c r="H13" s="292">
        <f>EXPENDITURES!J11</f>
        <v>2814259.39</v>
      </c>
      <c r="I13" s="293">
        <f>EXPENDITURES!K11</f>
        <v>3634114</v>
      </c>
      <c r="J13" s="219"/>
      <c r="K13" s="590">
        <f>EXPENDITURES!M11</f>
        <v>3423949</v>
      </c>
      <c r="L13" s="81">
        <f>EXPENDITURES!N11</f>
        <v>3526667.4699999997</v>
      </c>
      <c r="M13" s="81">
        <f>EXPENDITURES!O11</f>
        <v>3632467.4940999998</v>
      </c>
      <c r="N13" s="81">
        <f>EXPENDITURES!P11</f>
        <v>3741441.518923</v>
      </c>
      <c r="O13" s="81">
        <f>EXPENDITURES!Q11</f>
        <v>3853684.7644906901</v>
      </c>
    </row>
    <row r="14" spans="1:15" x14ac:dyDescent="0.3">
      <c r="A14" s="19" t="s">
        <v>48</v>
      </c>
      <c r="B14" s="322">
        <f>EXPENDITURES!D21</f>
        <v>973100</v>
      </c>
      <c r="C14" s="322">
        <f>EXPENDITURES!E21</f>
        <v>932934</v>
      </c>
      <c r="D14" s="41"/>
      <c r="E14" s="22" t="e">
        <f>#REF!</f>
        <v>#REF!</v>
      </c>
      <c r="F14" s="25" t="e">
        <f>#REF!</f>
        <v>#REF!</v>
      </c>
      <c r="G14" s="318">
        <f>EXPENDITURES!I21</f>
        <v>1032337</v>
      </c>
      <c r="H14" s="294">
        <f>EXPENDITURES!J21</f>
        <v>800111.03999999992</v>
      </c>
      <c r="I14" s="295">
        <f>EXPENDITURES!K21</f>
        <v>1025294</v>
      </c>
      <c r="J14" s="220"/>
      <c r="K14" s="591">
        <f>EXPENDITURES!M21</f>
        <v>961568</v>
      </c>
      <c r="L14" s="82">
        <f>EXPENDITURES!N21</f>
        <v>999884.92000000016</v>
      </c>
      <c r="M14" s="82">
        <f>EXPENDITURES!O21</f>
        <v>1040014.2392000002</v>
      </c>
      <c r="N14" s="82">
        <f>EXPENDITURES!P21</f>
        <v>1082056.731988</v>
      </c>
      <c r="O14" s="82">
        <f>EXPENDITURES!Q21</f>
        <v>1126119.4441524802</v>
      </c>
    </row>
    <row r="15" spans="1:15" x14ac:dyDescent="0.3">
      <c r="A15" s="19" t="s">
        <v>52</v>
      </c>
      <c r="B15" s="322">
        <f>EXPENDITURES!D46</f>
        <v>1839369.63</v>
      </c>
      <c r="C15" s="322">
        <f>EXPENDITURES!E46</f>
        <v>2485081.06</v>
      </c>
      <c r="D15" s="41"/>
      <c r="E15" s="22" t="e">
        <f>#REF!</f>
        <v>#REF!</v>
      </c>
      <c r="F15" s="25" t="e">
        <f>#REF!</f>
        <v>#REF!</v>
      </c>
      <c r="G15" s="318">
        <f>EXPENDITURES!I46</f>
        <v>2346598</v>
      </c>
      <c r="H15" s="294">
        <f>EXPENDITURES!J46</f>
        <v>1857323.0299999998</v>
      </c>
      <c r="I15" s="295">
        <f>EXPENDITURES!K46</f>
        <v>2125500</v>
      </c>
      <c r="J15" s="220"/>
      <c r="K15" s="591">
        <f>EXPENDITURES!M46</f>
        <v>2094093</v>
      </c>
      <c r="L15" s="82">
        <f>EXPENDITURES!N46</f>
        <v>2135974.8600000003</v>
      </c>
      <c r="M15" s="82">
        <f>EXPENDITURES!O46</f>
        <v>2178694.3572</v>
      </c>
      <c r="N15" s="82">
        <f>EXPENDITURES!P46</f>
        <v>2222268.2443440007</v>
      </c>
      <c r="O15" s="82">
        <f>EXPENDITURES!Q46</f>
        <v>2266713.6092308802</v>
      </c>
    </row>
    <row r="16" spans="1:15" x14ac:dyDescent="0.3">
      <c r="A16" s="19" t="s">
        <v>50</v>
      </c>
      <c r="B16" s="322">
        <f>EXPENDITURES!D55</f>
        <v>790898.28</v>
      </c>
      <c r="C16" s="322">
        <f>EXPENDITURES!E55</f>
        <v>943590</v>
      </c>
      <c r="D16" s="41"/>
      <c r="E16" s="22" t="e">
        <f>#REF!</f>
        <v>#REF!</v>
      </c>
      <c r="F16" s="25" t="e">
        <f>#REF!</f>
        <v>#REF!</v>
      </c>
      <c r="G16" s="318">
        <f>EXPENDITURES!I55</f>
        <v>848800</v>
      </c>
      <c r="H16" s="294">
        <f>EXPENDITURES!J55</f>
        <v>897417.09000000008</v>
      </c>
      <c r="I16" s="295">
        <f>EXPENDITURES!K55</f>
        <v>1021300</v>
      </c>
      <c r="J16" s="220"/>
      <c r="K16" s="591">
        <f>EXPENDITURES!M55</f>
        <v>859870</v>
      </c>
      <c r="L16" s="82">
        <f>EXPENDITURES!N55</f>
        <v>877067.4</v>
      </c>
      <c r="M16" s="82">
        <f>EXPENDITURES!O55</f>
        <v>944608.74800000002</v>
      </c>
      <c r="N16" s="82">
        <f>EXPENDITURES!P55</f>
        <v>963500.92295999988</v>
      </c>
      <c r="O16" s="82">
        <f>EXPENDITURES!Q55</f>
        <v>982770.94141920004</v>
      </c>
    </row>
    <row r="17" spans="1:15" ht="15" thickBot="1" x14ac:dyDescent="0.35">
      <c r="A17" s="20" t="s">
        <v>51</v>
      </c>
      <c r="B17" s="324">
        <f>EXPENDITURES!D66</f>
        <v>381111</v>
      </c>
      <c r="C17" s="324">
        <f>EXPENDITURES!E66</f>
        <v>312031</v>
      </c>
      <c r="D17" s="39"/>
      <c r="E17" s="23" t="e">
        <f>#REF!</f>
        <v>#REF!</v>
      </c>
      <c r="F17" s="26" t="e">
        <f>#REF!</f>
        <v>#REF!</v>
      </c>
      <c r="G17" s="319">
        <f>EXPENDITURES!I66</f>
        <v>239179</v>
      </c>
      <c r="H17" s="301">
        <f>EXPENDITURES!J66</f>
        <v>280285.51</v>
      </c>
      <c r="I17" s="365">
        <f>EXPENDITURES!K66</f>
        <v>333147</v>
      </c>
      <c r="J17" s="221"/>
      <c r="K17" s="592">
        <f>EXPENDITURES!M66</f>
        <v>112868</v>
      </c>
      <c r="L17" s="83">
        <f>EXPENDITURES!N66</f>
        <v>122766</v>
      </c>
      <c r="M17" s="83">
        <f>EXPENDITURES!O66</f>
        <v>122766</v>
      </c>
      <c r="N17" s="83">
        <f>EXPENDITURES!P66</f>
        <v>122766</v>
      </c>
      <c r="O17" s="83">
        <f>EXPENDITURES!Q66</f>
        <v>122766</v>
      </c>
    </row>
    <row r="18" spans="1:15" ht="16.8" thickTop="1" thickBot="1" x14ac:dyDescent="0.35">
      <c r="A18" s="173" t="s">
        <v>53</v>
      </c>
      <c r="B18" s="325">
        <f>EXPENDITURES!D68</f>
        <v>7067113.4799999995</v>
      </c>
      <c r="C18" s="325">
        <f>EXPENDITURES!E68</f>
        <v>7905229.8000000007</v>
      </c>
      <c r="D18" s="171"/>
      <c r="E18" s="174" t="e">
        <f>#REF!</f>
        <v>#REF!</v>
      </c>
      <c r="F18" s="175" t="e">
        <f>#REF!</f>
        <v>#REF!</v>
      </c>
      <c r="G18" s="320">
        <f>EXPENDITURES!I68</f>
        <v>8110816</v>
      </c>
      <c r="H18" s="302">
        <f>EXPENDITURES!J68</f>
        <v>6649396.0599999996</v>
      </c>
      <c r="I18" s="366">
        <f>EXPENDITURES!K68</f>
        <v>8139355</v>
      </c>
      <c r="J18" s="222"/>
      <c r="K18" s="593">
        <f>SUM(K13:K17)</f>
        <v>7452348</v>
      </c>
      <c r="L18" s="176">
        <f>SUM(L13:L17)</f>
        <v>7662360.6500000004</v>
      </c>
      <c r="M18" s="176">
        <f t="shared" ref="M18:N18" si="4">SUM(M13:M17)</f>
        <v>7918550.8385000005</v>
      </c>
      <c r="N18" s="176">
        <f t="shared" si="4"/>
        <v>8132033.418215001</v>
      </c>
      <c r="O18" s="176">
        <f t="shared" ref="O18" si="5">SUM(O13:O17)</f>
        <v>8352054.7592932498</v>
      </c>
    </row>
    <row r="19" spans="1:15" x14ac:dyDescent="0.3">
      <c r="G19" s="34"/>
      <c r="H19" s="34"/>
      <c r="I19" s="34"/>
      <c r="J19" s="34"/>
    </row>
    <row r="20" spans="1:15" x14ac:dyDescent="0.3">
      <c r="A20" s="29" t="s">
        <v>54</v>
      </c>
      <c r="B20" s="236">
        <f>B8-B18</f>
        <v>277781.27000000142</v>
      </c>
      <c r="C20" s="236">
        <f>C8-C18</f>
        <v>696833.16000000015</v>
      </c>
      <c r="D20" s="27"/>
      <c r="E20" s="28" t="e">
        <f t="shared" ref="E20:H20" si="6">E8-E18</f>
        <v>#REF!</v>
      </c>
      <c r="F20" s="27" t="e">
        <f t="shared" si="6"/>
        <v>#REF!</v>
      </c>
      <c r="G20" s="207">
        <f t="shared" si="6"/>
        <v>702201</v>
      </c>
      <c r="H20" s="207">
        <f t="shared" si="6"/>
        <v>508221.86000000034</v>
      </c>
      <c r="I20" s="207">
        <f t="shared" ref="I20:K20" si="7">I8-I18</f>
        <v>551643</v>
      </c>
      <c r="J20" s="207"/>
      <c r="K20" s="27">
        <f t="shared" si="7"/>
        <v>59056</v>
      </c>
      <c r="L20" s="27">
        <f t="shared" ref="L20:N20" si="8">L8-L18</f>
        <v>189778.70999999996</v>
      </c>
      <c r="M20" s="27">
        <f t="shared" si="8"/>
        <v>140906.28869999945</v>
      </c>
      <c r="N20" s="27">
        <f t="shared" si="8"/>
        <v>73897.631528998725</v>
      </c>
      <c r="O20" s="27">
        <f t="shared" ref="O20" si="9">O8-O18</f>
        <v>12692.269045629539</v>
      </c>
    </row>
    <row r="21" spans="1:15" x14ac:dyDescent="0.3">
      <c r="A21" s="29" t="s">
        <v>124</v>
      </c>
      <c r="B21" s="237">
        <f>B20-B7</f>
        <v>-475131.71999999858</v>
      </c>
      <c r="C21" s="237">
        <f>C20-C7</f>
        <v>-472102.61999999988</v>
      </c>
      <c r="E21" s="72" t="e">
        <f t="shared" ref="E21:H21" si="10">E20-E7</f>
        <v>#REF!</v>
      </c>
      <c r="F21" s="2" t="e">
        <f t="shared" si="10"/>
        <v>#REF!</v>
      </c>
      <c r="G21" s="208">
        <f t="shared" si="10"/>
        <v>-536069</v>
      </c>
      <c r="H21" s="208">
        <f t="shared" si="10"/>
        <v>-405164.65999999968</v>
      </c>
      <c r="I21" s="208">
        <f>I20-I7</f>
        <v>-757051</v>
      </c>
      <c r="J21" s="209"/>
      <c r="K21" s="2">
        <f t="shared" ref="K21" si="11">K20-K7</f>
        <v>59056</v>
      </c>
      <c r="L21" s="2">
        <f t="shared" ref="L21:N21" si="12">L20-L7</f>
        <v>189778.70999999996</v>
      </c>
      <c r="M21" s="2">
        <f t="shared" si="12"/>
        <v>140906.28869999945</v>
      </c>
      <c r="N21" s="2">
        <f t="shared" si="12"/>
        <v>73897.631528998725</v>
      </c>
      <c r="O21" s="2">
        <f t="shared" ref="O21" si="13">O20-O7</f>
        <v>12692.269045629539</v>
      </c>
    </row>
    <row r="24" spans="1:15" x14ac:dyDescent="0.3">
      <c r="K24" s="33"/>
      <c r="L24" s="33"/>
      <c r="M24" s="33"/>
      <c r="N24" s="33"/>
      <c r="O24" s="33"/>
    </row>
    <row r="34" spans="1:15" x14ac:dyDescent="0.3">
      <c r="G34" s="346"/>
    </row>
    <row r="38" spans="1:15" ht="15.6" x14ac:dyDescent="0.3">
      <c r="N38" s="354"/>
      <c r="O38" s="354"/>
    </row>
    <row r="40" spans="1:15" ht="15" thickBot="1" x14ac:dyDescent="0.35"/>
    <row r="41" spans="1:15" ht="15.6" x14ac:dyDescent="0.3">
      <c r="A41" s="695" t="s">
        <v>133</v>
      </c>
      <c r="B41" s="529" t="s">
        <v>1</v>
      </c>
      <c r="C41" s="228" t="s">
        <v>107</v>
      </c>
      <c r="D41" s="95"/>
      <c r="E41" s="157" t="s">
        <v>1</v>
      </c>
      <c r="F41" s="105" t="s">
        <v>1</v>
      </c>
      <c r="G41" s="286" t="s">
        <v>141</v>
      </c>
      <c r="H41" s="241" t="s">
        <v>141</v>
      </c>
      <c r="I41" s="104" t="s">
        <v>141</v>
      </c>
      <c r="J41" s="95"/>
      <c r="K41" s="580" t="s">
        <v>142</v>
      </c>
      <c r="L41" s="158" t="s">
        <v>173</v>
      </c>
      <c r="M41" s="158" t="s">
        <v>181</v>
      </c>
      <c r="N41" s="158" t="s">
        <v>182</v>
      </c>
      <c r="O41" s="158" t="s">
        <v>211</v>
      </c>
    </row>
    <row r="42" spans="1:15" ht="16.2" thickBot="1" x14ac:dyDescent="0.35">
      <c r="A42" s="696"/>
      <c r="B42" s="530" t="s">
        <v>31</v>
      </c>
      <c r="C42" s="229" t="s">
        <v>171</v>
      </c>
      <c r="D42" s="159"/>
      <c r="E42" s="160" t="s">
        <v>32</v>
      </c>
      <c r="F42" s="161" t="s">
        <v>33</v>
      </c>
      <c r="G42" s="531" t="s">
        <v>108</v>
      </c>
      <c r="H42" s="372" t="s">
        <v>111</v>
      </c>
      <c r="I42" s="373" t="s">
        <v>200</v>
      </c>
      <c r="J42" s="223"/>
      <c r="K42" s="584" t="s">
        <v>108</v>
      </c>
      <c r="L42" s="169" t="s">
        <v>110</v>
      </c>
      <c r="M42" s="169" t="s">
        <v>110</v>
      </c>
      <c r="N42" s="169" t="s">
        <v>110</v>
      </c>
      <c r="O42" s="169" t="s">
        <v>110</v>
      </c>
    </row>
    <row r="43" spans="1:15" x14ac:dyDescent="0.3">
      <c r="A43" s="73" t="s">
        <v>125</v>
      </c>
      <c r="B43" s="532"/>
      <c r="C43" s="533"/>
      <c r="D43" s="534"/>
      <c r="E43" s="535"/>
      <c r="F43" s="536"/>
      <c r="G43" s="303"/>
      <c r="H43" s="368"/>
      <c r="I43" s="370"/>
      <c r="J43" s="78"/>
      <c r="K43" s="594"/>
      <c r="L43" s="85"/>
      <c r="M43" s="85"/>
      <c r="N43" s="85"/>
      <c r="O43" s="85"/>
    </row>
    <row r="44" spans="1:15" x14ac:dyDescent="0.3">
      <c r="A44" s="74" t="s">
        <v>126</v>
      </c>
      <c r="B44" s="537">
        <v>2251698</v>
      </c>
      <c r="C44" s="538">
        <v>2529480</v>
      </c>
      <c r="D44" s="539"/>
      <c r="E44" s="540">
        <f>B48</f>
        <v>2529480</v>
      </c>
      <c r="F44" s="541">
        <f>B48</f>
        <v>2529480</v>
      </c>
      <c r="G44" s="542">
        <f>C48</f>
        <v>3226315</v>
      </c>
      <c r="H44" s="304">
        <f>C48</f>
        <v>3226315</v>
      </c>
      <c r="I44" s="364">
        <f>C48</f>
        <v>3226315</v>
      </c>
      <c r="J44" s="224"/>
      <c r="K44" s="595">
        <f>I48</f>
        <v>3777958</v>
      </c>
      <c r="L44" s="86">
        <f>K48</f>
        <v>3837014</v>
      </c>
      <c r="M44" s="86">
        <f t="shared" ref="M44:O44" si="14">L48</f>
        <v>4026792.4399999985</v>
      </c>
      <c r="N44" s="86">
        <f t="shared" si="14"/>
        <v>4167699.3692999966</v>
      </c>
      <c r="O44" s="86">
        <f t="shared" si="14"/>
        <v>4241597.0398559943</v>
      </c>
    </row>
    <row r="45" spans="1:15" x14ac:dyDescent="0.3">
      <c r="A45" s="74" t="s">
        <v>127</v>
      </c>
      <c r="B45" s="543">
        <v>4293119</v>
      </c>
      <c r="C45" s="538">
        <v>5627677</v>
      </c>
      <c r="D45" s="539"/>
      <c r="E45" s="540">
        <f>REVENUE!K53-SUMMARY!E51-SUMMARY!E57</f>
        <v>2587147</v>
      </c>
      <c r="F45" s="541">
        <f>REVENUE!L53-SUMMARY!F51-SUMMARY!F57</f>
        <v>2858622</v>
      </c>
      <c r="G45" s="542">
        <v>5368267</v>
      </c>
      <c r="H45" s="304">
        <f>REVENUE!N53-SUMMARY!H51-SUMMARY!H57</f>
        <v>7157617.9199999999</v>
      </c>
      <c r="I45" s="364">
        <f>REVENUE!O53-SUMMARY!I51-SUMMARY!I57</f>
        <v>5479029</v>
      </c>
      <c r="J45" s="224"/>
      <c r="K45" s="595">
        <f>REVENUE!R53-SUMMARY!K51-SUMMARY!K57</f>
        <v>7511404</v>
      </c>
      <c r="L45" s="86">
        <f>REVENUE!S53-SUMMARY!L51-SUMMARY!L57</f>
        <v>7852139.3600000003</v>
      </c>
      <c r="M45" s="89">
        <f>REVENUE!V53-SUMMARY!M51-SUMMARY!M57</f>
        <v>8059457.1272</v>
      </c>
      <c r="N45" s="86">
        <f>REVENUE!W53-SUMMARY!N51-SUMMARY!N57</f>
        <v>8205931.0497439997</v>
      </c>
      <c r="O45" s="86">
        <f>REVENUE!X53-SUMMARY!O51-SUMMARY!O57</f>
        <v>8364747.0283388793</v>
      </c>
    </row>
    <row r="46" spans="1:15" x14ac:dyDescent="0.3">
      <c r="A46" s="74" t="s">
        <v>128</v>
      </c>
      <c r="B46" s="543">
        <v>3634226</v>
      </c>
      <c r="C46" s="538">
        <v>4618811</v>
      </c>
      <c r="D46" s="539"/>
      <c r="E46" s="540" t="e">
        <f>#REF!-SUMMARY!E52-SUMMARY!E58</f>
        <v>#REF!</v>
      </c>
      <c r="F46" s="541" t="e">
        <f>#REF!-SUMMARY!F52-SUMMARY!F58</f>
        <v>#REF!</v>
      </c>
      <c r="G46" s="542">
        <v>4474621</v>
      </c>
      <c r="H46" s="304">
        <f>EXPENDITURES!J68-SUMMARY!H52-SUMMARY!H58</f>
        <v>3753051.7675000001</v>
      </c>
      <c r="I46" s="364">
        <f>EXPENDITURES!K68-SUMMARY!I52-SUMMARY!I58</f>
        <v>4357426</v>
      </c>
      <c r="J46" s="224"/>
      <c r="K46" s="595">
        <f>EXPENDITURES!M68-SUMMARY!K52-SUMMARY!K58</f>
        <v>3628436</v>
      </c>
      <c r="L46" s="86">
        <f>EXPENDITURES!N68-SUMMARY!L52-SUMMARY!L58</f>
        <v>3710116.9200000009</v>
      </c>
      <c r="M46" s="86">
        <f>EXPENDITURES!O68-SUMMARY!M52-SUMMARY!M58</f>
        <v>3843823.1979000005</v>
      </c>
      <c r="N46" s="86">
        <f>EXPENDITURES!P68-SUMMARY!N52-SUMMARY!N58</f>
        <v>3930615.3791880007</v>
      </c>
      <c r="O46" s="86">
        <f>EXPENDITURES!Q68-SUMMARY!O52-SUMMARY!O58</f>
        <v>4019576.4014418097</v>
      </c>
    </row>
    <row r="47" spans="1:15" ht="15" thickBot="1" x14ac:dyDescent="0.35">
      <c r="A47" s="75" t="s">
        <v>134</v>
      </c>
      <c r="B47" s="544">
        <v>-381111</v>
      </c>
      <c r="C47" s="545">
        <v>-312031</v>
      </c>
      <c r="D47" s="546"/>
      <c r="E47" s="547"/>
      <c r="F47" s="548"/>
      <c r="G47" s="305">
        <v>-191445</v>
      </c>
      <c r="H47" s="374">
        <f>-1*H53-H59</f>
        <v>0</v>
      </c>
      <c r="I47" s="374">
        <f>-1*I53-I59</f>
        <v>-569960</v>
      </c>
      <c r="J47" s="225"/>
      <c r="K47" s="596">
        <f>-1*K53-K59</f>
        <v>-3823912</v>
      </c>
      <c r="L47" s="87">
        <f t="shared" ref="L47:N47" si="15">-1*L53-L59</f>
        <v>-3952244</v>
      </c>
      <c r="M47" s="87">
        <f t="shared" si="15"/>
        <v>-4074727</v>
      </c>
      <c r="N47" s="87">
        <f t="shared" si="15"/>
        <v>-4201418</v>
      </c>
      <c r="O47" s="87">
        <f t="shared" ref="O47" si="16">-1*O53-O59</f>
        <v>-4332479</v>
      </c>
    </row>
    <row r="48" spans="1:15" ht="15.6" thickTop="1" thickBot="1" x14ac:dyDescent="0.35">
      <c r="A48" s="76" t="s">
        <v>129</v>
      </c>
      <c r="B48" s="549">
        <f>B44+B45-B46+B47</f>
        <v>2529480</v>
      </c>
      <c r="C48" s="550">
        <f t="shared" ref="C48" si="17">C44+C45-C46+C47</f>
        <v>3226315</v>
      </c>
      <c r="D48" s="551"/>
      <c r="E48" s="552" t="e">
        <f t="shared" ref="E48:H48" si="18">E44+E45-E46+E47</f>
        <v>#REF!</v>
      </c>
      <c r="F48" s="553" t="e">
        <f t="shared" si="18"/>
        <v>#REF!</v>
      </c>
      <c r="G48" s="306">
        <f t="shared" si="18"/>
        <v>3928516</v>
      </c>
      <c r="H48" s="307">
        <f t="shared" si="18"/>
        <v>6630881.1524999999</v>
      </c>
      <c r="I48" s="375">
        <f>I44+I45-I46+I47</f>
        <v>3777958</v>
      </c>
      <c r="J48" s="80"/>
      <c r="K48" s="597">
        <f t="shared" ref="K48" si="19">K44+K45-K46+K47</f>
        <v>3837014</v>
      </c>
      <c r="L48" s="88">
        <f t="shared" ref="L48:N48" si="20">L44+L45-L46+L47</f>
        <v>4026792.4399999985</v>
      </c>
      <c r="M48" s="88">
        <f t="shared" si="20"/>
        <v>4167699.3692999966</v>
      </c>
      <c r="N48" s="88">
        <f t="shared" si="20"/>
        <v>4241597.0398559943</v>
      </c>
      <c r="O48" s="88">
        <f t="shared" ref="O48" si="21">O44+O45-O46+O47</f>
        <v>4254288.6667530648</v>
      </c>
    </row>
    <row r="49" spans="1:15" x14ac:dyDescent="0.3">
      <c r="A49" s="73" t="s">
        <v>130</v>
      </c>
      <c r="B49" s="532"/>
      <c r="C49" s="533"/>
      <c r="D49" s="534"/>
      <c r="E49" s="535"/>
      <c r="F49" s="536"/>
      <c r="G49" s="303"/>
      <c r="H49" s="303"/>
      <c r="I49" s="432"/>
      <c r="J49" s="78"/>
      <c r="K49" s="594"/>
      <c r="L49" s="85"/>
      <c r="M49" s="85"/>
      <c r="N49" s="85"/>
      <c r="O49" s="85"/>
    </row>
    <row r="50" spans="1:15" x14ac:dyDescent="0.3">
      <c r="A50" s="74" t="s">
        <v>126</v>
      </c>
      <c r="B50" s="554">
        <v>0</v>
      </c>
      <c r="C50" s="538">
        <f>B54</f>
        <v>0</v>
      </c>
      <c r="D50" s="539"/>
      <c r="E50" s="540">
        <f>B54</f>
        <v>0</v>
      </c>
      <c r="F50" s="541">
        <f>B54</f>
        <v>0</v>
      </c>
      <c r="G50" s="542">
        <f>C54</f>
        <v>0</v>
      </c>
      <c r="H50" s="542">
        <f>C54</f>
        <v>0</v>
      </c>
      <c r="I50" s="555">
        <f>C54</f>
        <v>0</v>
      </c>
      <c r="J50" s="224"/>
      <c r="K50" s="595">
        <f>I54</f>
        <v>0</v>
      </c>
      <c r="L50" s="86">
        <f>K54</f>
        <v>0</v>
      </c>
      <c r="M50" s="86">
        <f t="shared" ref="M50:O50" si="22">L54</f>
        <v>0.27000000048428774</v>
      </c>
      <c r="N50" s="86">
        <f t="shared" si="22"/>
        <v>-0.37059999955818057</v>
      </c>
      <c r="O50" s="86">
        <f t="shared" si="22"/>
        <v>-0.40962699986994267</v>
      </c>
    </row>
    <row r="51" spans="1:15" x14ac:dyDescent="0.3">
      <c r="A51" s="74" t="s">
        <v>127</v>
      </c>
      <c r="B51" s="537">
        <v>3051776</v>
      </c>
      <c r="C51" s="556">
        <v>2974386</v>
      </c>
      <c r="D51" s="539"/>
      <c r="E51" s="557">
        <f>REVENUE!K16+REVENUE!K5</f>
        <v>4626244</v>
      </c>
      <c r="F51" s="558">
        <f>REVENUE!L16+REVENUE!L5</f>
        <v>4406323</v>
      </c>
      <c r="G51" s="559">
        <v>3444750</v>
      </c>
      <c r="H51" s="559">
        <f>REVENUE!N16+REVENUE!N5</f>
        <v>0</v>
      </c>
      <c r="I51" s="560">
        <f>REVENUE!O16+REVENUE!O5</f>
        <v>3211969</v>
      </c>
      <c r="J51" s="226"/>
      <c r="K51" s="598">
        <f>REVENUE!R16+REVENUE!R5</f>
        <v>0</v>
      </c>
      <c r="L51" s="89">
        <f>REVENUE!S16+REVENUE!S5</f>
        <v>0</v>
      </c>
      <c r="M51" s="89">
        <f>REVENUE!V16+REVENUE!V5</f>
        <v>0</v>
      </c>
      <c r="N51" s="89">
        <f>REVENUE!W16+REVENUE!W5</f>
        <v>0</v>
      </c>
      <c r="O51" s="89">
        <f>REVENUE!X16+REVENUE!X5</f>
        <v>0</v>
      </c>
    </row>
    <row r="52" spans="1:15" x14ac:dyDescent="0.3">
      <c r="A52" s="74" t="s">
        <v>128</v>
      </c>
      <c r="B52" s="537">
        <v>3051776</v>
      </c>
      <c r="C52" s="556">
        <v>2974386</v>
      </c>
      <c r="D52" s="539"/>
      <c r="E52" s="557" t="e">
        <f>#REF!+#REF!+#REF!+#REF!+#REF!+#REF!+#REF!+#REF!+#REF!+#REF!+#REF!+#REF!+#REF!+#REF!+#REF!+#REF!+#REF!</f>
        <v>#REF!</v>
      </c>
      <c r="F52" s="558" t="e">
        <f>#REF!+#REF!+#REF!+#REF!+#REF!+#REF!+#REF!+#REF!+#REF!+#REF!+#REF!+#REF!+#REF!+#REF!+#REF!+#REF!+#REF!</f>
        <v>#REF!</v>
      </c>
      <c r="G52" s="559">
        <v>3397016</v>
      </c>
      <c r="H52" s="559">
        <f>SUM(EXPENDITURES!J3:J6)+EXPENDITURES!J13+0.75*EXPENDITURES!J15+0.75*EXPENDITURES!J16+0.75*EXPENDITURES!J17</f>
        <v>2616058.7824999997</v>
      </c>
      <c r="I52" s="559">
        <f>SUM(EXPENDITURES!K3:K6)+EXPENDITURES!K13+0.75*EXPENDITURES!K15+0.75*EXPENDITURES!K16+0.75*EXPENDITURES!K17</f>
        <v>3448782</v>
      </c>
      <c r="J52" s="227"/>
      <c r="K52" s="598">
        <f>EXPENDITURES!M3+EXPENDITURES!M4+EXPENDITURES!M5+EXPENDITURES!M6+EXPENDITURES!M13+0.75*EXPENDITURES!M15+0.75*EXPENDITURES!M16+0.75*EXPENDITURES!M17</f>
        <v>3711044</v>
      </c>
      <c r="L52" s="89">
        <f>EXPENDITURES!N3+EXPENDITURES!N4+EXPENDITURES!N5+EXPENDITURES!N6+EXPENDITURES!N13+0.75*EXPENDITURES!N15+0.75*EXPENDITURES!N16+0.75*EXPENDITURES!N17</f>
        <v>3829477.7299999995</v>
      </c>
      <c r="M52" s="89">
        <f>EXPENDITURES!O3+EXPENDITURES!O4+EXPENDITURES!O5+EXPENDITURES!O6+EXPENDITURES!O13+0.75*EXPENDITURES!O15+0.75*EXPENDITURES!O16+0.75*EXPENDITURES!O17</f>
        <v>3951961.6406</v>
      </c>
      <c r="N52" s="89">
        <f>EXPENDITURES!P3+EXPENDITURES!P4+EXPENDITURES!P5+EXPENDITURES!P6+EXPENDITURES!P13+0.75*EXPENDITURES!P15+0.75*EXPENDITURES!P16+0.75*EXPENDITURES!P17</f>
        <v>4078652.0390270003</v>
      </c>
      <c r="O52" s="89">
        <f>EXPENDITURES!Q3+EXPENDITURES!Q4+EXPENDITURES!Q5+EXPENDITURES!Q6+EXPENDITURES!Q13+0.75*EXPENDITURES!Q15+0.75*EXPENDITURES!Q16+0.75*EXPENDITURES!Q17</f>
        <v>4209712.3578514401</v>
      </c>
    </row>
    <row r="53" spans="1:15" ht="15" thickBot="1" x14ac:dyDescent="0.35">
      <c r="A53" s="75" t="s">
        <v>134</v>
      </c>
      <c r="B53" s="561">
        <v>0</v>
      </c>
      <c r="C53" s="545">
        <v>0</v>
      </c>
      <c r="D53" s="546"/>
      <c r="E53" s="547"/>
      <c r="F53" s="548"/>
      <c r="G53" s="305">
        <v>-47734</v>
      </c>
      <c r="H53" s="305"/>
      <c r="I53" s="433">
        <v>236813</v>
      </c>
      <c r="J53" s="225"/>
      <c r="K53" s="596">
        <v>3711044</v>
      </c>
      <c r="L53" s="87">
        <v>3829478</v>
      </c>
      <c r="M53" s="87">
        <v>3951961</v>
      </c>
      <c r="N53" s="87">
        <v>4078652</v>
      </c>
      <c r="O53" s="87">
        <v>4209713</v>
      </c>
    </row>
    <row r="54" spans="1:15" ht="15.6" thickTop="1" thickBot="1" x14ac:dyDescent="0.35">
      <c r="A54" s="76" t="s">
        <v>129</v>
      </c>
      <c r="B54" s="562">
        <f>B50+B51-B52+B53</f>
        <v>0</v>
      </c>
      <c r="C54" s="550">
        <f t="shared" ref="C54" si="23">C50+C51-C52+C53</f>
        <v>0</v>
      </c>
      <c r="D54" s="551"/>
      <c r="E54" s="552" t="e">
        <f t="shared" ref="E54:H54" si="24">E50+E51-E52+E53</f>
        <v>#REF!</v>
      </c>
      <c r="F54" s="553" t="e">
        <f t="shared" si="24"/>
        <v>#REF!</v>
      </c>
      <c r="G54" s="306">
        <f t="shared" si="24"/>
        <v>0</v>
      </c>
      <c r="H54" s="306">
        <f t="shared" si="24"/>
        <v>-2616058.7824999997</v>
      </c>
      <c r="I54" s="434">
        <f>I50+I51-I52+I53</f>
        <v>0</v>
      </c>
      <c r="J54" s="80"/>
      <c r="K54" s="597">
        <f t="shared" ref="K54" si="25">K50+K51-K52+K53</f>
        <v>0</v>
      </c>
      <c r="L54" s="88">
        <f t="shared" ref="L54:N54" si="26">L50+L51-L52+L53</f>
        <v>0.27000000048428774</v>
      </c>
      <c r="M54" s="88">
        <f t="shared" si="26"/>
        <v>-0.37059999955818057</v>
      </c>
      <c r="N54" s="88">
        <f t="shared" si="26"/>
        <v>-0.40962699986994267</v>
      </c>
      <c r="O54" s="88">
        <f t="shared" ref="O54" si="27">O50+O51-O52+O53</f>
        <v>0.23252156004309654</v>
      </c>
    </row>
    <row r="55" spans="1:15" x14ac:dyDescent="0.3">
      <c r="A55" s="73" t="s">
        <v>131</v>
      </c>
      <c r="B55" s="532"/>
      <c r="C55" s="533"/>
      <c r="D55" s="534"/>
      <c r="E55" s="535"/>
      <c r="F55" s="536"/>
      <c r="G55" s="303"/>
      <c r="H55" s="368"/>
      <c r="I55" s="370"/>
      <c r="J55" s="78"/>
      <c r="K55" s="594"/>
      <c r="L55" s="85"/>
      <c r="M55" s="85"/>
      <c r="N55" s="85"/>
      <c r="O55" s="85"/>
    </row>
    <row r="56" spans="1:15" x14ac:dyDescent="0.3">
      <c r="A56" s="74" t="s">
        <v>126</v>
      </c>
      <c r="B56" s="537">
        <v>0</v>
      </c>
      <c r="C56" s="538">
        <f>B60</f>
        <v>0</v>
      </c>
      <c r="D56" s="539"/>
      <c r="E56" s="540">
        <f>B60</f>
        <v>0</v>
      </c>
      <c r="F56" s="541">
        <f>B60</f>
        <v>0</v>
      </c>
      <c r="G56" s="542">
        <f>C60</f>
        <v>0</v>
      </c>
      <c r="H56" s="304">
        <f>C60</f>
        <v>0</v>
      </c>
      <c r="I56" s="364">
        <f>C60</f>
        <v>0</v>
      </c>
      <c r="J56" s="224"/>
      <c r="K56" s="595">
        <f>I60</f>
        <v>0</v>
      </c>
      <c r="L56" s="86">
        <f>K60</f>
        <v>0</v>
      </c>
      <c r="M56" s="86">
        <f t="shared" ref="M56:O56" si="28">L60</f>
        <v>0</v>
      </c>
      <c r="N56" s="86">
        <f t="shared" si="28"/>
        <v>0</v>
      </c>
      <c r="O56" s="86">
        <f t="shared" si="28"/>
        <v>0</v>
      </c>
    </row>
    <row r="57" spans="1:15" x14ac:dyDescent="0.3">
      <c r="A57" s="74" t="s">
        <v>127</v>
      </c>
      <c r="B57" s="554">
        <v>0</v>
      </c>
      <c r="C57" s="563">
        <v>0</v>
      </c>
      <c r="D57" s="539"/>
      <c r="E57" s="564">
        <v>0</v>
      </c>
      <c r="F57" s="565">
        <v>0</v>
      </c>
      <c r="G57" s="566">
        <v>0</v>
      </c>
      <c r="H57" s="567">
        <f>REVENUE!N21</f>
        <v>0</v>
      </c>
      <c r="I57" s="568">
        <f>REVENUE!O21</f>
        <v>0</v>
      </c>
      <c r="J57" s="226"/>
      <c r="K57" s="599">
        <v>0</v>
      </c>
      <c r="L57" s="90">
        <v>0</v>
      </c>
      <c r="M57" s="90">
        <v>0</v>
      </c>
      <c r="N57" s="90">
        <v>0</v>
      </c>
      <c r="O57" s="90">
        <v>0</v>
      </c>
    </row>
    <row r="58" spans="1:15" x14ac:dyDescent="0.3">
      <c r="A58" s="74" t="s">
        <v>128</v>
      </c>
      <c r="B58" s="537">
        <v>381111</v>
      </c>
      <c r="C58" s="556">
        <v>312031</v>
      </c>
      <c r="D58" s="539"/>
      <c r="E58" s="557" t="e">
        <f>SUM(#REF!)</f>
        <v>#REF!</v>
      </c>
      <c r="F58" s="558" t="e">
        <f>SUM(#REF!)</f>
        <v>#REF!</v>
      </c>
      <c r="G58" s="559">
        <v>239179</v>
      </c>
      <c r="H58" s="567">
        <f>EXPENDITURES!J66</f>
        <v>280285.51</v>
      </c>
      <c r="I58" s="568">
        <f>EXPENDITURES!K66</f>
        <v>333147</v>
      </c>
      <c r="J58" s="226"/>
      <c r="K58" s="598">
        <f>EXPENDITURES!M66</f>
        <v>112868</v>
      </c>
      <c r="L58" s="89">
        <f>EXPENDITURES!N66</f>
        <v>122766</v>
      </c>
      <c r="M58" s="89">
        <f>EXPENDITURES!O66</f>
        <v>122766</v>
      </c>
      <c r="N58" s="89">
        <f>EXPENDITURES!P66</f>
        <v>122766</v>
      </c>
      <c r="O58" s="89">
        <f>EXPENDITURES!Q66</f>
        <v>122766</v>
      </c>
    </row>
    <row r="59" spans="1:15" ht="15" thickBot="1" x14ac:dyDescent="0.35">
      <c r="A59" s="75" t="s">
        <v>134</v>
      </c>
      <c r="B59" s="561">
        <v>381111</v>
      </c>
      <c r="C59" s="545">
        <v>312031</v>
      </c>
      <c r="D59" s="546"/>
      <c r="E59" s="547"/>
      <c r="F59" s="548"/>
      <c r="G59" s="305">
        <v>239179</v>
      </c>
      <c r="H59" s="367"/>
      <c r="I59" s="374">
        <v>333147</v>
      </c>
      <c r="J59" s="225"/>
      <c r="K59" s="596">
        <v>112868</v>
      </c>
      <c r="L59" s="87">
        <v>122766</v>
      </c>
      <c r="M59" s="87">
        <v>122766</v>
      </c>
      <c r="N59" s="87">
        <v>122766</v>
      </c>
      <c r="O59" s="87">
        <v>122766</v>
      </c>
    </row>
    <row r="60" spans="1:15" ht="15.6" thickTop="1" thickBot="1" x14ac:dyDescent="0.35">
      <c r="A60" s="76" t="s">
        <v>129</v>
      </c>
      <c r="B60" s="549">
        <f>B56+B57-B58+B59</f>
        <v>0</v>
      </c>
      <c r="C60" s="550">
        <f t="shared" ref="C60" si="29">C56+C57-C58+C59</f>
        <v>0</v>
      </c>
      <c r="D60" s="569"/>
      <c r="E60" s="552" t="e">
        <f t="shared" ref="E60:H60" si="30">E56+E57-E58+E59</f>
        <v>#REF!</v>
      </c>
      <c r="F60" s="553" t="e">
        <f t="shared" si="30"/>
        <v>#REF!</v>
      </c>
      <c r="G60" s="306">
        <f t="shared" si="30"/>
        <v>0</v>
      </c>
      <c r="H60" s="307">
        <f t="shared" si="30"/>
        <v>-280285.51</v>
      </c>
      <c r="I60" s="375">
        <f>I56+I57-I58+I59</f>
        <v>0</v>
      </c>
      <c r="J60" s="80"/>
      <c r="K60" s="597">
        <f t="shared" ref="K60" si="31">K56+K57-K58+K59</f>
        <v>0</v>
      </c>
      <c r="L60" s="88">
        <f t="shared" ref="L60:N60" si="32">L56+L57-L58+L59</f>
        <v>0</v>
      </c>
      <c r="M60" s="88">
        <f t="shared" si="32"/>
        <v>0</v>
      </c>
      <c r="N60" s="88">
        <f t="shared" si="32"/>
        <v>0</v>
      </c>
      <c r="O60" s="88">
        <f t="shared" ref="O60" si="33">O56+O57-O58+O59</f>
        <v>0</v>
      </c>
    </row>
    <row r="61" spans="1:15" x14ac:dyDescent="0.3">
      <c r="A61" s="77" t="s">
        <v>132</v>
      </c>
      <c r="B61" s="570"/>
      <c r="C61" s="571"/>
      <c r="D61" s="539"/>
      <c r="E61" s="572"/>
      <c r="F61" s="573"/>
      <c r="G61" s="574"/>
      <c r="H61" s="369"/>
      <c r="I61" s="371"/>
      <c r="J61" s="79"/>
      <c r="K61" s="600"/>
      <c r="L61" s="91"/>
      <c r="M61" s="91"/>
      <c r="N61" s="91"/>
      <c r="O61" s="91"/>
    </row>
    <row r="62" spans="1:15" x14ac:dyDescent="0.3">
      <c r="A62" s="74" t="s">
        <v>126</v>
      </c>
      <c r="B62" s="543">
        <f>B44+B50+B56</f>
        <v>2251698</v>
      </c>
      <c r="C62" s="538">
        <f>C44</f>
        <v>2529480</v>
      </c>
      <c r="D62" s="539"/>
      <c r="E62" s="540">
        <f>B66</f>
        <v>2529480</v>
      </c>
      <c r="F62" s="541">
        <f>B66</f>
        <v>2529480</v>
      </c>
      <c r="G62" s="542">
        <f>C66</f>
        <v>3226315</v>
      </c>
      <c r="H62" s="304">
        <f>C66</f>
        <v>3226315</v>
      </c>
      <c r="I62" s="364">
        <f>C66</f>
        <v>3226315</v>
      </c>
      <c r="J62" s="224"/>
      <c r="K62" s="595">
        <f>I66</f>
        <v>3777958</v>
      </c>
      <c r="L62" s="86">
        <f>K66</f>
        <v>3837014</v>
      </c>
      <c r="M62" s="86">
        <f t="shared" ref="M62:O62" si="34">L66</f>
        <v>4026792.709999999</v>
      </c>
      <c r="N62" s="86">
        <f t="shared" si="34"/>
        <v>4167698.9986999985</v>
      </c>
      <c r="O62" s="86">
        <f t="shared" si="34"/>
        <v>4241596.6302289981</v>
      </c>
    </row>
    <row r="63" spans="1:15" x14ac:dyDescent="0.3">
      <c r="A63" s="74" t="s">
        <v>127</v>
      </c>
      <c r="B63" s="537">
        <f>B45+B51+B57</f>
        <v>7344895</v>
      </c>
      <c r="C63" s="556">
        <f t="shared" ref="C63" si="35">C45+C51+C57</f>
        <v>8602063</v>
      </c>
      <c r="D63" s="539"/>
      <c r="E63" s="557">
        <f t="shared" ref="E63:H63" si="36">E45+E51+E57</f>
        <v>7213391</v>
      </c>
      <c r="F63" s="558">
        <f t="shared" si="36"/>
        <v>7264945</v>
      </c>
      <c r="G63" s="559">
        <f t="shared" si="36"/>
        <v>8813017</v>
      </c>
      <c r="H63" s="567">
        <f t="shared" si="36"/>
        <v>7157617.9199999999</v>
      </c>
      <c r="I63" s="568">
        <f>I45+I51+I57</f>
        <v>8690998</v>
      </c>
      <c r="J63" s="226"/>
      <c r="K63" s="598">
        <f t="shared" ref="K63" si="37">K45+K51+K57</f>
        <v>7511404</v>
      </c>
      <c r="L63" s="89">
        <f t="shared" ref="L63:N63" si="38">L45+L51+L57</f>
        <v>7852139.3600000003</v>
      </c>
      <c r="M63" s="89">
        <f t="shared" si="38"/>
        <v>8059457.1272</v>
      </c>
      <c r="N63" s="89">
        <f t="shared" si="38"/>
        <v>8205931.0497439997</v>
      </c>
      <c r="O63" s="89">
        <f t="shared" ref="O63" si="39">O45+O51+O57</f>
        <v>8364747.0283388793</v>
      </c>
    </row>
    <row r="64" spans="1:15" x14ac:dyDescent="0.3">
      <c r="A64" s="74" t="s">
        <v>128</v>
      </c>
      <c r="B64" s="543">
        <f>B46+B52+B58</f>
        <v>7067113</v>
      </c>
      <c r="C64" s="538">
        <f t="shared" ref="C64" si="40">C46+C52+C58</f>
        <v>7905228</v>
      </c>
      <c r="D64" s="539"/>
      <c r="E64" s="540" t="e">
        <f t="shared" ref="E64:H64" si="41">E46+E52+E58</f>
        <v>#REF!</v>
      </c>
      <c r="F64" s="541" t="e">
        <f t="shared" si="41"/>
        <v>#REF!</v>
      </c>
      <c r="G64" s="542">
        <f t="shared" si="41"/>
        <v>8110816</v>
      </c>
      <c r="H64" s="304">
        <f t="shared" si="41"/>
        <v>6649396.0599999996</v>
      </c>
      <c r="I64" s="364">
        <f>I46+I52+I58</f>
        <v>8139355</v>
      </c>
      <c r="J64" s="224"/>
      <c r="K64" s="595">
        <f t="shared" ref="K64" si="42">K46+K52+K58</f>
        <v>7452348</v>
      </c>
      <c r="L64" s="86">
        <f t="shared" ref="L64:N64" si="43">L46+L52+L58</f>
        <v>7662360.6500000004</v>
      </c>
      <c r="M64" s="86">
        <f t="shared" si="43"/>
        <v>7918550.8385000005</v>
      </c>
      <c r="N64" s="86">
        <f t="shared" si="43"/>
        <v>8132033.418215001</v>
      </c>
      <c r="O64" s="86">
        <f t="shared" ref="O64" si="44">O46+O52+O58</f>
        <v>8352054.7592932498</v>
      </c>
    </row>
    <row r="65" spans="1:15" ht="15" thickBot="1" x14ac:dyDescent="0.35">
      <c r="A65" s="75" t="s">
        <v>134</v>
      </c>
      <c r="B65" s="561">
        <f>B47+B53+B59</f>
        <v>0</v>
      </c>
      <c r="C65" s="545"/>
      <c r="D65" s="546"/>
      <c r="E65" s="547"/>
      <c r="F65" s="548"/>
      <c r="G65" s="305"/>
      <c r="H65" s="367"/>
      <c r="I65" s="374"/>
      <c r="J65" s="225"/>
      <c r="K65" s="596"/>
      <c r="L65" s="87"/>
      <c r="M65" s="87"/>
      <c r="N65" s="87"/>
      <c r="O65" s="87"/>
    </row>
    <row r="66" spans="1:15" ht="15.6" thickTop="1" thickBot="1" x14ac:dyDescent="0.35">
      <c r="A66" s="76" t="s">
        <v>129</v>
      </c>
      <c r="B66" s="549">
        <f>B62+B63-B64+B65</f>
        <v>2529480</v>
      </c>
      <c r="C66" s="550">
        <f t="shared" ref="C66" si="45">C62+C63-C64+C65</f>
        <v>3226315</v>
      </c>
      <c r="D66" s="551"/>
      <c r="E66" s="552" t="e">
        <f t="shared" ref="E66:H66" si="46">E62+E63-E64+E65</f>
        <v>#REF!</v>
      </c>
      <c r="F66" s="553" t="e">
        <f t="shared" si="46"/>
        <v>#REF!</v>
      </c>
      <c r="G66" s="306">
        <f t="shared" si="46"/>
        <v>3928516</v>
      </c>
      <c r="H66" s="307">
        <f t="shared" si="46"/>
        <v>3734536.8600000003</v>
      </c>
      <c r="I66" s="375">
        <f>I62+I63-I64+I65</f>
        <v>3777958</v>
      </c>
      <c r="J66" s="80"/>
      <c r="K66" s="597">
        <f t="shared" ref="K66" si="47">K62+K63-K64+K65</f>
        <v>3837014</v>
      </c>
      <c r="L66" s="88">
        <f t="shared" ref="L66:N66" si="48">L62+L63-L64+L65</f>
        <v>4026792.709999999</v>
      </c>
      <c r="M66" s="88">
        <f t="shared" si="48"/>
        <v>4167698.9986999985</v>
      </c>
      <c r="N66" s="88">
        <f t="shared" si="48"/>
        <v>4241596.6302289981</v>
      </c>
      <c r="O66" s="88">
        <f t="shared" ref="O66" si="49">O62+O63-O64+O65</f>
        <v>4254288.8992746277</v>
      </c>
    </row>
    <row r="67" spans="1:15" x14ac:dyDescent="0.3">
      <c r="B67" s="349"/>
      <c r="C67" s="349"/>
      <c r="D67" s="32"/>
      <c r="E67" s="32"/>
      <c r="F67" s="32"/>
      <c r="I67" s="32"/>
    </row>
    <row r="68" spans="1:15" ht="15.6" x14ac:dyDescent="0.3">
      <c r="A68" s="177" t="s">
        <v>135</v>
      </c>
      <c r="B68" s="575">
        <f>(B48+B54)/(B46+B52)</f>
        <v>0.37832474474282241</v>
      </c>
      <c r="C68" s="575">
        <f>(C48+C54)/(C46+C52)</f>
        <v>0.4248954689309391</v>
      </c>
      <c r="D68" s="576"/>
      <c r="E68" s="376" t="e">
        <f>(E48+E54)/(E46+E52)</f>
        <v>#REF!</v>
      </c>
      <c r="F68" s="576"/>
      <c r="G68" s="575">
        <f>(G48+G54)/(G46+G52)</f>
        <v>0.4990723022415795</v>
      </c>
      <c r="H68" s="575"/>
      <c r="I68" s="376">
        <f>(I48+I54)/(I46+I52)</f>
        <v>0.48396840053454893</v>
      </c>
      <c r="J68" s="178"/>
      <c r="K68" s="178">
        <f>(K48+K54)/(K46+K52)</f>
        <v>0.5227909879174002</v>
      </c>
      <c r="L68" s="178">
        <f>(L48+L54)/(L46+L52)</f>
        <v>0.5340861010346224</v>
      </c>
      <c r="M68" s="178">
        <f t="shared" ref="M68:N68" si="50">(M48+M54)/(M46+M52)</f>
        <v>0.53460929015351211</v>
      </c>
      <c r="N68" s="178">
        <f t="shared" si="50"/>
        <v>0.5295860918044244</v>
      </c>
      <c r="O68" s="178">
        <f t="shared" ref="O68" si="51">(O48+O54)/(O46+O52)</f>
        <v>0.51696920884812814</v>
      </c>
    </row>
    <row r="69" spans="1:15" x14ac:dyDescent="0.3">
      <c r="B69" s="349"/>
      <c r="C69" s="349"/>
      <c r="D69" s="32"/>
      <c r="E69" s="32"/>
      <c r="F69" s="32"/>
      <c r="I69" s="32"/>
    </row>
    <row r="70" spans="1:15" x14ac:dyDescent="0.3">
      <c r="B70" s="349"/>
      <c r="C70" s="577"/>
      <c r="D70" s="32"/>
      <c r="E70" s="32"/>
      <c r="F70" s="32"/>
      <c r="G70" s="93"/>
      <c r="I70" s="32"/>
    </row>
    <row r="71" spans="1:15" x14ac:dyDescent="0.3">
      <c r="B71" s="349"/>
      <c r="C71" s="578"/>
      <c r="D71" s="32"/>
      <c r="E71" s="32"/>
      <c r="F71" s="32"/>
      <c r="I71" s="32"/>
    </row>
    <row r="72" spans="1:15" x14ac:dyDescent="0.3">
      <c r="B72" s="349"/>
      <c r="C72" s="349"/>
      <c r="D72" s="32"/>
      <c r="E72" s="32"/>
      <c r="F72" s="32"/>
      <c r="I72" s="32"/>
    </row>
    <row r="73" spans="1:15" x14ac:dyDescent="0.3">
      <c r="B73" s="349"/>
      <c r="C73" s="349"/>
      <c r="D73" s="32"/>
      <c r="E73" s="32"/>
      <c r="F73" s="32"/>
      <c r="I73" s="32"/>
    </row>
    <row r="74" spans="1:15" x14ac:dyDescent="0.3">
      <c r="B74" s="349"/>
      <c r="C74" s="349"/>
      <c r="D74" s="32"/>
      <c r="E74" s="32"/>
      <c r="F74" s="32"/>
      <c r="I74" s="32"/>
    </row>
    <row r="82" spans="14:15" ht="15.6" x14ac:dyDescent="0.3">
      <c r="N82" s="354"/>
      <c r="O82" s="354"/>
    </row>
  </sheetData>
  <mergeCells count="3">
    <mergeCell ref="A11:A12"/>
    <mergeCell ref="A2:A3"/>
    <mergeCell ref="A41:A42"/>
  </mergeCells>
  <pageMargins left="0.7" right="0.7" top="1.5" bottom="0.75" header="0.8" footer="0.3"/>
  <pageSetup scale="74" fitToHeight="0" orientation="landscape" r:id="rId1"/>
  <headerFooter>
    <oddHeader xml:space="preserve">&amp;L&amp;"-,Bold Italic"&amp;18Budget Summary&amp;C&amp;"-,Bold Italic"&amp;18SLLIS&amp;R&amp;"-,Bold Italic"&amp;18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J65"/>
  <sheetViews>
    <sheetView tabSelected="1" topLeftCell="A13" workbookViewId="0">
      <selection activeCell="J23" sqref="J23"/>
    </sheetView>
  </sheetViews>
  <sheetFormatPr defaultRowHeight="14.4" x14ac:dyDescent="0.3"/>
  <cols>
    <col min="1" max="1" width="20.33203125" bestFit="1" customWidth="1"/>
    <col min="2" max="10" width="14.33203125" customWidth="1"/>
  </cols>
  <sheetData>
    <row r="1" spans="1:10" ht="15" thickBot="1" x14ac:dyDescent="0.35"/>
    <row r="2" spans="1:10" ht="18.600000000000001" thickBot="1" x14ac:dyDescent="0.4">
      <c r="A2" s="359"/>
      <c r="B2" s="355" t="s">
        <v>146</v>
      </c>
      <c r="C2" s="355" t="s">
        <v>147</v>
      </c>
      <c r="D2" s="388" t="s">
        <v>201</v>
      </c>
      <c r="E2" s="389" t="s">
        <v>202</v>
      </c>
      <c r="F2" s="355" t="s">
        <v>210</v>
      </c>
      <c r="G2" s="655" t="s">
        <v>185</v>
      </c>
      <c r="H2" s="655" t="s">
        <v>186</v>
      </c>
      <c r="I2" s="655" t="s">
        <v>187</v>
      </c>
      <c r="J2" s="655" t="s">
        <v>213</v>
      </c>
    </row>
    <row r="3" spans="1:10" ht="18" x14ac:dyDescent="0.35">
      <c r="A3" s="360" t="s">
        <v>40</v>
      </c>
      <c r="B3" s="356">
        <f>SUMMARY!B8</f>
        <v>7344894.7500000009</v>
      </c>
      <c r="C3" s="356">
        <f>SUMMARY!C8</f>
        <v>8602062.9600000009</v>
      </c>
      <c r="D3" s="382">
        <f>SUMMARY!H8</f>
        <v>7157617.9199999999</v>
      </c>
      <c r="E3" s="383">
        <f>SUMMARY!I8</f>
        <v>8690998</v>
      </c>
      <c r="F3" s="601">
        <f>SUMMARY!K8</f>
        <v>7511404</v>
      </c>
      <c r="G3" s="656">
        <f>SUMMARY!L8</f>
        <v>7852139.3600000003</v>
      </c>
      <c r="H3" s="656">
        <f>SUMMARY!M8</f>
        <v>8059457.1272</v>
      </c>
      <c r="I3" s="656">
        <f>SUMMARY!N8</f>
        <v>8205931.0497439997</v>
      </c>
      <c r="J3" s="656">
        <f>SUMMARY!O8</f>
        <v>8364747.0283388793</v>
      </c>
    </row>
    <row r="4" spans="1:10" ht="15.6" x14ac:dyDescent="0.3">
      <c r="A4" s="361" t="s">
        <v>41</v>
      </c>
      <c r="B4" s="357">
        <f>SUMMARY!B4</f>
        <v>719778.27</v>
      </c>
      <c r="C4" s="357">
        <f>SUMMARY!C4</f>
        <v>886729.26</v>
      </c>
      <c r="D4" s="384">
        <f>SUMMARY!H4</f>
        <v>818183.19000000006</v>
      </c>
      <c r="E4" s="385">
        <f>SUMMARY!I4</f>
        <v>948050</v>
      </c>
      <c r="F4" s="602">
        <f>SUMMARY!K4</f>
        <v>866050</v>
      </c>
      <c r="G4" s="657">
        <f>SUMMARY!L4</f>
        <v>879400</v>
      </c>
      <c r="H4" s="657">
        <f>SUMMARY!M4</f>
        <v>893267</v>
      </c>
      <c r="I4" s="657">
        <f>SUMMARY!N4</f>
        <v>912668.84</v>
      </c>
      <c r="J4" s="657">
        <f>SUMMARY!O4</f>
        <v>932624.09179999994</v>
      </c>
    </row>
    <row r="5" spans="1:10" ht="15.6" x14ac:dyDescent="0.3">
      <c r="A5" s="361" t="s">
        <v>42</v>
      </c>
      <c r="B5" s="357">
        <f>SUMMARY!B5</f>
        <v>5031728.54</v>
      </c>
      <c r="C5" s="357">
        <f>SUMMARY!C5</f>
        <v>5740121.040000001</v>
      </c>
      <c r="D5" s="384">
        <f>SUMMARY!H5</f>
        <v>4726432.6399999997</v>
      </c>
      <c r="E5" s="385">
        <f>SUMMARY!I5</f>
        <v>5642174</v>
      </c>
      <c r="F5" s="602">
        <f>SUMMARY!K5</f>
        <v>5939336</v>
      </c>
      <c r="G5" s="657">
        <f>SUMMARY!L5</f>
        <v>6252601</v>
      </c>
      <c r="H5" s="657">
        <f>SUMMARY!M5</f>
        <v>6431649</v>
      </c>
      <c r="I5" s="657">
        <f>SUMMARY!N5</f>
        <v>6544030.2599999998</v>
      </c>
      <c r="J5" s="657">
        <f>SUMMARY!O5</f>
        <v>6667906.3477999996</v>
      </c>
    </row>
    <row r="6" spans="1:10" ht="15.6" x14ac:dyDescent="0.3">
      <c r="A6" s="361" t="s">
        <v>43</v>
      </c>
      <c r="B6" s="357">
        <f>SUMMARY!B6+SUMMARY!B7</f>
        <v>1593387.9400000002</v>
      </c>
      <c r="C6" s="357">
        <f>SUMMARY!C6+SUMMARY!C7</f>
        <v>1975212.6600000001</v>
      </c>
      <c r="D6" s="384">
        <f>SUMMARY!H6+SUMMARY!H7</f>
        <v>1613002.0899999999</v>
      </c>
      <c r="E6" s="385">
        <f>SUMMARY!I6+SUMMARY!I7</f>
        <v>2100774</v>
      </c>
      <c r="F6" s="602">
        <f>SUMMARY!K6+SUMMARY!K7</f>
        <v>706018</v>
      </c>
      <c r="G6" s="657">
        <f>SUMMARY!L6+SUMMARY!L7</f>
        <v>720138.36</v>
      </c>
      <c r="H6" s="657">
        <f>SUMMARY!M6+SUMMARY!M7</f>
        <v>734541.1272000001</v>
      </c>
      <c r="I6" s="657">
        <f>SUMMARY!N6+SUMMARY!N7</f>
        <v>749231.94974399987</v>
      </c>
      <c r="J6" s="657">
        <f>SUMMARY!O6+SUMMARY!O7</f>
        <v>764216.58873888012</v>
      </c>
    </row>
    <row r="7" spans="1:10" ht="15.6" x14ac:dyDescent="0.3">
      <c r="A7" s="362"/>
      <c r="B7" s="357"/>
      <c r="C7" s="357"/>
      <c r="D7" s="384"/>
      <c r="E7" s="385"/>
      <c r="F7" s="602"/>
      <c r="G7" s="658"/>
      <c r="H7" s="658"/>
      <c r="I7" s="658"/>
      <c r="J7" s="658"/>
    </row>
    <row r="8" spans="1:10" ht="18" x14ac:dyDescent="0.35">
      <c r="A8" s="360" t="s">
        <v>46</v>
      </c>
      <c r="B8" s="356">
        <f>SUMMARY!B18</f>
        <v>7067113.4799999995</v>
      </c>
      <c r="C8" s="356">
        <f>SUMMARY!C18</f>
        <v>7905229.8000000007</v>
      </c>
      <c r="D8" s="382">
        <f>SUMMARY!H18</f>
        <v>6649396.0599999996</v>
      </c>
      <c r="E8" s="383">
        <f>SUMMARY!I18</f>
        <v>8139355</v>
      </c>
      <c r="F8" s="601">
        <f>SUMMARY!K18</f>
        <v>7452348</v>
      </c>
      <c r="G8" s="656">
        <f>SUMMARY!L18</f>
        <v>7662360.6500000004</v>
      </c>
      <c r="H8" s="656">
        <f>SUMMARY!M18</f>
        <v>7918550.8385000005</v>
      </c>
      <c r="I8" s="656">
        <f>SUMMARY!N18</f>
        <v>8132033.418215001</v>
      </c>
      <c r="J8" s="656">
        <f>SUMMARY!O18</f>
        <v>8352054.7592932498</v>
      </c>
    </row>
    <row r="9" spans="1:10" ht="15.6" x14ac:dyDescent="0.3">
      <c r="A9" s="361" t="s">
        <v>47</v>
      </c>
      <c r="B9" s="357">
        <f>SUMMARY!B13</f>
        <v>3082634.57</v>
      </c>
      <c r="C9" s="357">
        <f>SUMMARY!C13</f>
        <v>3231593.74</v>
      </c>
      <c r="D9" s="384">
        <f>SUMMARY!H13</f>
        <v>2814259.39</v>
      </c>
      <c r="E9" s="385">
        <f>SUMMARY!I13</f>
        <v>3634114</v>
      </c>
      <c r="F9" s="602">
        <f>SUMMARY!K13</f>
        <v>3423949</v>
      </c>
      <c r="G9" s="657">
        <f>SUMMARY!L13</f>
        <v>3526667.4699999997</v>
      </c>
      <c r="H9" s="657">
        <f>SUMMARY!M13</f>
        <v>3632467.4940999998</v>
      </c>
      <c r="I9" s="657">
        <f>SUMMARY!N13</f>
        <v>3741441.518923</v>
      </c>
      <c r="J9" s="657">
        <f>SUMMARY!O13</f>
        <v>3853684.7644906901</v>
      </c>
    </row>
    <row r="10" spans="1:10" ht="15.6" x14ac:dyDescent="0.3">
      <c r="A10" s="361" t="s">
        <v>48</v>
      </c>
      <c r="B10" s="357">
        <f>SUMMARY!B14</f>
        <v>973100</v>
      </c>
      <c r="C10" s="357">
        <f>SUMMARY!C14</f>
        <v>932934</v>
      </c>
      <c r="D10" s="384">
        <f>SUMMARY!H14</f>
        <v>800111.03999999992</v>
      </c>
      <c r="E10" s="385">
        <f>SUMMARY!I14</f>
        <v>1025294</v>
      </c>
      <c r="F10" s="602">
        <f>SUMMARY!K14</f>
        <v>961568</v>
      </c>
      <c r="G10" s="657">
        <f>SUMMARY!L14</f>
        <v>999884.92000000016</v>
      </c>
      <c r="H10" s="657">
        <f>SUMMARY!M14</f>
        <v>1040014.2392000002</v>
      </c>
      <c r="I10" s="657">
        <f>SUMMARY!N14</f>
        <v>1082056.731988</v>
      </c>
      <c r="J10" s="657">
        <f>SUMMARY!O14</f>
        <v>1126119.4441524802</v>
      </c>
    </row>
    <row r="11" spans="1:10" ht="15.6" x14ac:dyDescent="0.3">
      <c r="A11" s="361" t="s">
        <v>183</v>
      </c>
      <c r="B11" s="357">
        <f>SUMMARY!B15</f>
        <v>1839369.63</v>
      </c>
      <c r="C11" s="357">
        <f>SUMMARY!C15</f>
        <v>2485081.06</v>
      </c>
      <c r="D11" s="384">
        <f>SUMMARY!H15</f>
        <v>1857323.0299999998</v>
      </c>
      <c r="E11" s="385">
        <f>SUMMARY!I15</f>
        <v>2125500</v>
      </c>
      <c r="F11" s="602">
        <f>SUMMARY!K15</f>
        <v>2094093</v>
      </c>
      <c r="G11" s="657">
        <f>SUMMARY!L15</f>
        <v>2135974.8600000003</v>
      </c>
      <c r="H11" s="657">
        <f>SUMMARY!M15</f>
        <v>2178694.3572</v>
      </c>
      <c r="I11" s="657">
        <f>SUMMARY!N15</f>
        <v>2222268.2443440007</v>
      </c>
      <c r="J11" s="657">
        <f>SUMMARY!O15</f>
        <v>2266713.6092308802</v>
      </c>
    </row>
    <row r="12" spans="1:10" ht="15.6" x14ac:dyDescent="0.3">
      <c r="A12" s="361" t="s">
        <v>50</v>
      </c>
      <c r="B12" s="357">
        <f>SUMMARY!B16</f>
        <v>790898.28</v>
      </c>
      <c r="C12" s="357">
        <f>SUMMARY!C16</f>
        <v>943590</v>
      </c>
      <c r="D12" s="384">
        <f>SUMMARY!H16</f>
        <v>897417.09000000008</v>
      </c>
      <c r="E12" s="385">
        <f>SUMMARY!I16</f>
        <v>1021300</v>
      </c>
      <c r="F12" s="602">
        <f>SUMMARY!K16</f>
        <v>859870</v>
      </c>
      <c r="G12" s="657">
        <f>SUMMARY!L16</f>
        <v>877067.4</v>
      </c>
      <c r="H12" s="657">
        <f>SUMMARY!M16</f>
        <v>944608.74800000002</v>
      </c>
      <c r="I12" s="657">
        <f>SUMMARY!N16</f>
        <v>963500.92295999988</v>
      </c>
      <c r="J12" s="657">
        <f>SUMMARY!O16</f>
        <v>982770.94141920004</v>
      </c>
    </row>
    <row r="13" spans="1:10" ht="15.6" x14ac:dyDescent="0.3">
      <c r="A13" s="361" t="s">
        <v>184</v>
      </c>
      <c r="B13" s="357">
        <f>SUMMARY!B17</f>
        <v>381111</v>
      </c>
      <c r="C13" s="357">
        <f>SUMMARY!C17</f>
        <v>312031</v>
      </c>
      <c r="D13" s="384">
        <f>SUMMARY!H17</f>
        <v>280285.51</v>
      </c>
      <c r="E13" s="385">
        <f>SUMMARY!I17</f>
        <v>333147</v>
      </c>
      <c r="F13" s="602">
        <f>SUMMARY!K17</f>
        <v>112868</v>
      </c>
      <c r="G13" s="657">
        <f>SUMMARY!L17</f>
        <v>122766</v>
      </c>
      <c r="H13" s="657">
        <f>SUMMARY!M17</f>
        <v>122766</v>
      </c>
      <c r="I13" s="657">
        <f>SUMMARY!N17</f>
        <v>122766</v>
      </c>
      <c r="J13" s="657">
        <f>SUMMARY!O17</f>
        <v>122766</v>
      </c>
    </row>
    <row r="14" spans="1:10" ht="15.6" x14ac:dyDescent="0.3">
      <c r="A14" s="362"/>
      <c r="B14" s="358"/>
      <c r="C14" s="358"/>
      <c r="D14" s="386"/>
      <c r="E14" s="387"/>
      <c r="F14" s="603"/>
      <c r="G14" s="659"/>
      <c r="H14" s="659"/>
      <c r="I14" s="659"/>
      <c r="J14" s="659"/>
    </row>
    <row r="15" spans="1:10" ht="18" x14ac:dyDescent="0.35">
      <c r="A15" s="360" t="s">
        <v>188</v>
      </c>
      <c r="B15" s="356">
        <f>SUMMARY!B66</f>
        <v>2529480</v>
      </c>
      <c r="C15" s="356">
        <f>SUMMARY!C66</f>
        <v>3226315</v>
      </c>
      <c r="D15" s="382">
        <f>SUMMARY!H66</f>
        <v>3734536.8600000003</v>
      </c>
      <c r="E15" s="383">
        <f>SUMMARY!I66</f>
        <v>3777958</v>
      </c>
      <c r="F15" s="601">
        <f>SUMMARY!K66</f>
        <v>3837014</v>
      </c>
      <c r="G15" s="656">
        <f>SUMMARY!L66</f>
        <v>4026792.709999999</v>
      </c>
      <c r="H15" s="656">
        <f>SUMMARY!M66</f>
        <v>4167698.9986999985</v>
      </c>
      <c r="I15" s="656">
        <f>SUMMARY!N66</f>
        <v>4241596.6302289981</v>
      </c>
      <c r="J15" s="656">
        <f>SUMMARY!O66</f>
        <v>4254288.8992746277</v>
      </c>
    </row>
    <row r="16" spans="1:10" ht="18.600000000000001" thickBot="1" x14ac:dyDescent="0.4">
      <c r="A16" s="360" t="s">
        <v>189</v>
      </c>
      <c r="B16" s="661">
        <f>SUMMARY!B68</f>
        <v>0.37832474474282241</v>
      </c>
      <c r="C16" s="661">
        <f>SUMMARY!C68</f>
        <v>0.4248954689309391</v>
      </c>
      <c r="D16" s="662"/>
      <c r="E16" s="663">
        <f>SUMMARY!I68</f>
        <v>0.48396840053454893</v>
      </c>
      <c r="F16" s="664">
        <f>SUMMARY!K68</f>
        <v>0.5227909879174002</v>
      </c>
      <c r="G16" s="665">
        <f>SUMMARY!L68</f>
        <v>0.5340861010346224</v>
      </c>
      <c r="H16" s="665">
        <f>SUMMARY!M68</f>
        <v>0.53460929015351211</v>
      </c>
      <c r="I16" s="665">
        <f>SUMMARY!N68</f>
        <v>0.5295860918044244</v>
      </c>
      <c r="J16" s="665">
        <f>SUMMARY!O68</f>
        <v>0.51696920884812814</v>
      </c>
    </row>
    <row r="17" spans="1:10" ht="16.2" thickBot="1" x14ac:dyDescent="0.35">
      <c r="A17" s="673"/>
      <c r="B17" s="674"/>
      <c r="C17" s="674"/>
      <c r="D17" s="675"/>
      <c r="E17" s="675"/>
      <c r="F17" s="674"/>
      <c r="G17" s="676"/>
      <c r="H17" s="676"/>
      <c r="I17" s="676"/>
      <c r="J17" s="677"/>
    </row>
    <row r="18" spans="1:10" ht="18.600000000000001" thickBot="1" x14ac:dyDescent="0.4">
      <c r="A18" s="666" t="s">
        <v>190</v>
      </c>
      <c r="B18" s="667">
        <v>440</v>
      </c>
      <c r="C18" s="668">
        <v>392</v>
      </c>
      <c r="D18" s="669"/>
      <c r="E18" s="670"/>
      <c r="F18" s="671">
        <v>420</v>
      </c>
      <c r="G18" s="672">
        <v>430</v>
      </c>
      <c r="H18" s="672">
        <v>440</v>
      </c>
      <c r="I18" s="672">
        <v>445</v>
      </c>
      <c r="J18" s="672">
        <v>450</v>
      </c>
    </row>
    <row r="19" spans="1:10" ht="15.6" x14ac:dyDescent="0.3">
      <c r="A19" t="s">
        <v>214</v>
      </c>
      <c r="B19" s="354"/>
      <c r="C19" s="354"/>
      <c r="D19" s="354"/>
      <c r="E19" s="37"/>
      <c r="F19">
        <v>0.92</v>
      </c>
      <c r="G19">
        <v>0.92</v>
      </c>
      <c r="H19">
        <v>0.92</v>
      </c>
      <c r="I19">
        <v>0.92</v>
      </c>
      <c r="J19">
        <v>0.92</v>
      </c>
    </row>
    <row r="20" spans="1:10" ht="15.6" x14ac:dyDescent="0.3">
      <c r="A20" t="s">
        <v>215</v>
      </c>
      <c r="B20" s="354">
        <v>358</v>
      </c>
      <c r="C20" s="354"/>
      <c r="D20" s="354"/>
      <c r="E20" s="37">
        <v>358</v>
      </c>
      <c r="F20">
        <f>F18*F19</f>
        <v>386.40000000000003</v>
      </c>
      <c r="G20">
        <f t="shared" ref="G20:J20" si="0">G18*G19</f>
        <v>395.6</v>
      </c>
      <c r="H20">
        <f t="shared" si="0"/>
        <v>404.8</v>
      </c>
      <c r="I20">
        <f t="shared" si="0"/>
        <v>409.40000000000003</v>
      </c>
      <c r="J20">
        <f t="shared" si="0"/>
        <v>414</v>
      </c>
    </row>
    <row r="21" spans="1:10" ht="15.6" x14ac:dyDescent="0.3">
      <c r="A21" t="s">
        <v>216</v>
      </c>
      <c r="B21" s="354">
        <v>29</v>
      </c>
      <c r="C21" s="354"/>
      <c r="D21" s="354"/>
      <c r="E21" s="37">
        <v>29</v>
      </c>
      <c r="F21">
        <v>41</v>
      </c>
      <c r="G21">
        <v>42</v>
      </c>
      <c r="H21">
        <v>43</v>
      </c>
      <c r="I21">
        <v>43</v>
      </c>
      <c r="J21">
        <v>44</v>
      </c>
    </row>
    <row r="22" spans="1:10" ht="15.6" x14ac:dyDescent="0.3">
      <c r="A22" t="s">
        <v>217</v>
      </c>
      <c r="B22" s="354">
        <v>0</v>
      </c>
      <c r="C22" s="354"/>
      <c r="D22" s="354"/>
      <c r="E22" s="37">
        <v>0</v>
      </c>
      <c r="F22">
        <v>0</v>
      </c>
      <c r="G22">
        <v>0</v>
      </c>
      <c r="H22">
        <v>0</v>
      </c>
      <c r="I22">
        <v>0</v>
      </c>
      <c r="J22">
        <v>0</v>
      </c>
    </row>
    <row r="23" spans="1:10" ht="15.6" x14ac:dyDescent="0.3">
      <c r="A23" t="s">
        <v>218</v>
      </c>
      <c r="B23" s="354">
        <v>35</v>
      </c>
      <c r="C23" s="354"/>
      <c r="D23" s="354"/>
      <c r="E23" s="37">
        <v>35</v>
      </c>
      <c r="F23">
        <v>28</v>
      </c>
      <c r="G23">
        <v>28</v>
      </c>
      <c r="H23">
        <v>29</v>
      </c>
      <c r="I23">
        <v>29</v>
      </c>
      <c r="J23">
        <v>30</v>
      </c>
    </row>
    <row r="24" spans="1:10" ht="16.2" thickBot="1" x14ac:dyDescent="0.35">
      <c r="A24" t="s">
        <v>219</v>
      </c>
      <c r="B24" s="354">
        <v>6</v>
      </c>
      <c r="C24" s="354"/>
      <c r="D24" s="354"/>
      <c r="E24" s="37">
        <v>6</v>
      </c>
      <c r="F24">
        <v>0</v>
      </c>
      <c r="G24" s="37">
        <v>12</v>
      </c>
      <c r="H24" s="37">
        <v>12</v>
      </c>
      <c r="I24" s="37">
        <v>13</v>
      </c>
      <c r="J24" s="37">
        <v>13</v>
      </c>
    </row>
    <row r="25" spans="1:10" ht="18.600000000000001" thickBot="1" x14ac:dyDescent="0.4">
      <c r="A25" s="682" t="s">
        <v>220</v>
      </c>
      <c r="B25" s="377">
        <v>428</v>
      </c>
      <c r="C25" s="378"/>
      <c r="D25" s="380"/>
      <c r="E25" s="381">
        <v>428</v>
      </c>
      <c r="F25" s="683">
        <f>SUM(F20:F24)</f>
        <v>455.40000000000003</v>
      </c>
      <c r="G25" s="660">
        <f t="shared" ref="G25:J25" si="1">SUM(G20:G24)</f>
        <v>477.6</v>
      </c>
      <c r="H25" s="660">
        <f t="shared" si="1"/>
        <v>488.8</v>
      </c>
      <c r="I25" s="660">
        <f t="shared" si="1"/>
        <v>494.40000000000003</v>
      </c>
      <c r="J25" s="378">
        <f t="shared" si="1"/>
        <v>501</v>
      </c>
    </row>
    <row r="26" spans="1:10" ht="15.6" x14ac:dyDescent="0.3">
      <c r="A26" t="s">
        <v>230</v>
      </c>
      <c r="D26" s="678"/>
      <c r="E26" s="27">
        <v>11995.43</v>
      </c>
      <c r="F26" s="2">
        <f>1.005*E26</f>
        <v>12055.407149999999</v>
      </c>
      <c r="G26" s="2">
        <f t="shared" ref="G26:J26" si="2">1.005*F26</f>
        <v>12115.684185749999</v>
      </c>
      <c r="H26" s="2">
        <f t="shared" si="2"/>
        <v>12176.262606678747</v>
      </c>
      <c r="I26" s="2">
        <f t="shared" si="2"/>
        <v>12237.14391971214</v>
      </c>
      <c r="J26" s="2">
        <f t="shared" si="2"/>
        <v>12298.329639310699</v>
      </c>
    </row>
    <row r="27" spans="1:10" x14ac:dyDescent="0.3">
      <c r="A27" t="s">
        <v>222</v>
      </c>
      <c r="D27" s="2"/>
      <c r="E27" s="680">
        <f t="shared" ref="E27:J27" si="3">E25*E26</f>
        <v>5134044.04</v>
      </c>
      <c r="F27" s="2">
        <f t="shared" si="3"/>
        <v>5490032.4161099996</v>
      </c>
      <c r="G27" s="2">
        <f t="shared" si="3"/>
        <v>5786450.7671141997</v>
      </c>
      <c r="H27" s="2">
        <f t="shared" si="3"/>
        <v>5951757.1621445715</v>
      </c>
      <c r="I27" s="2">
        <f t="shared" si="3"/>
        <v>6050043.9539056821</v>
      </c>
      <c r="J27" s="2">
        <f t="shared" si="3"/>
        <v>6161463.1492946604</v>
      </c>
    </row>
    <row r="28" spans="1:10" x14ac:dyDescent="0.3">
      <c r="A28" s="654" t="s">
        <v>221</v>
      </c>
      <c r="B28" s="654"/>
      <c r="C28" s="654"/>
      <c r="D28" s="654"/>
      <c r="E28" s="681">
        <f>E27-E29</f>
        <v>4966262.04</v>
      </c>
      <c r="F28" s="653">
        <f>F27-F29</f>
        <v>5267532.4161099996</v>
      </c>
      <c r="G28" s="653">
        <f t="shared" ref="G28:J28" si="4">G27-G29</f>
        <v>5563950.7671141997</v>
      </c>
      <c r="H28" s="653">
        <f t="shared" si="4"/>
        <v>5729257.1621445715</v>
      </c>
      <c r="I28" s="653">
        <f t="shared" si="4"/>
        <v>5827543.9539056821</v>
      </c>
      <c r="J28" s="653">
        <f t="shared" si="4"/>
        <v>5938963.1492946604</v>
      </c>
    </row>
    <row r="29" spans="1:10" x14ac:dyDescent="0.3">
      <c r="A29" t="s">
        <v>10</v>
      </c>
      <c r="E29" s="27">
        <v>167782</v>
      </c>
      <c r="F29" s="652">
        <v>222500</v>
      </c>
      <c r="G29" s="652">
        <v>222500</v>
      </c>
      <c r="H29" s="652">
        <v>222500</v>
      </c>
      <c r="I29" s="652">
        <v>222500</v>
      </c>
      <c r="J29" s="652">
        <v>222500</v>
      </c>
    </row>
    <row r="31" spans="1:10" ht="15" thickBot="1" x14ac:dyDescent="0.35">
      <c r="E31" s="679" t="s">
        <v>223</v>
      </c>
    </row>
    <row r="32" spans="1:10" x14ac:dyDescent="0.3">
      <c r="A32" s="684" t="s">
        <v>226</v>
      </c>
      <c r="B32" s="685"/>
      <c r="C32" s="686"/>
      <c r="E32" s="679" t="s">
        <v>224</v>
      </c>
      <c r="F32" s="652"/>
    </row>
    <row r="33" spans="1:5" x14ac:dyDescent="0.3">
      <c r="A33" s="687" t="s">
        <v>228</v>
      </c>
      <c r="B33" s="688"/>
      <c r="C33" s="689"/>
      <c r="E33" s="679" t="s">
        <v>225</v>
      </c>
    </row>
    <row r="34" spans="1:5" x14ac:dyDescent="0.3">
      <c r="A34" s="687" t="s">
        <v>227</v>
      </c>
      <c r="B34" s="688"/>
      <c r="C34" s="689"/>
    </row>
    <row r="35" spans="1:5" x14ac:dyDescent="0.3">
      <c r="A35" s="687" t="s">
        <v>229</v>
      </c>
      <c r="B35" s="688"/>
      <c r="C35" s="689"/>
    </row>
    <row r="36" spans="1:5" ht="15" thickBot="1" x14ac:dyDescent="0.35">
      <c r="A36" s="690" t="s">
        <v>231</v>
      </c>
      <c r="B36" s="691"/>
      <c r="C36" s="692"/>
    </row>
    <row r="65" spans="9:10" ht="15.6" x14ac:dyDescent="0.3">
      <c r="I65" s="354"/>
      <c r="J65" s="354"/>
    </row>
  </sheetData>
  <pageMargins left="0.7" right="0.7" top="1" bottom="0.75" header="0.3" footer="0.3"/>
  <pageSetup scale="81" fitToHeight="0" orientation="landscape" r:id="rId1"/>
  <headerFooter>
    <oddHeader>&amp;C&amp;"-,Bold Italic"&amp;18SLLIS
FINANCIAL OVERVIEW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29:B43"/>
  <sheetViews>
    <sheetView workbookViewId="0">
      <selection activeCell="H40" sqref="H40"/>
    </sheetView>
  </sheetViews>
  <sheetFormatPr defaultRowHeight="14.4" x14ac:dyDescent="0.3"/>
  <cols>
    <col min="2" max="2" width="20.6640625" bestFit="1" customWidth="1"/>
  </cols>
  <sheetData>
    <row r="29" spans="1:2" x14ac:dyDescent="0.3">
      <c r="B29" t="s">
        <v>152</v>
      </c>
    </row>
    <row r="30" spans="1:2" x14ac:dyDescent="0.3">
      <c r="A30" t="s">
        <v>153</v>
      </c>
      <c r="B30" s="30">
        <v>6.0600000000000001E-2</v>
      </c>
    </row>
    <row r="31" spans="1:2" x14ac:dyDescent="0.3">
      <c r="A31" t="s">
        <v>154</v>
      </c>
      <c r="B31" s="30">
        <v>9.8599999999999993E-2</v>
      </c>
    </row>
    <row r="32" spans="1:2" x14ac:dyDescent="0.3">
      <c r="A32" t="s">
        <v>155</v>
      </c>
      <c r="B32" s="30">
        <v>0.12330000000000001</v>
      </c>
    </row>
    <row r="33" spans="1:2" x14ac:dyDescent="0.3">
      <c r="A33" t="s">
        <v>149</v>
      </c>
      <c r="B33" s="30">
        <v>0.2044</v>
      </c>
    </row>
    <row r="34" spans="1:2" x14ac:dyDescent="0.3">
      <c r="A34" t="s">
        <v>150</v>
      </c>
      <c r="B34" s="30">
        <v>0.48010000000000003</v>
      </c>
    </row>
    <row r="35" spans="1:2" x14ac:dyDescent="0.3">
      <c r="A35" t="s">
        <v>145</v>
      </c>
      <c r="B35" s="31">
        <v>0.36509999999999998</v>
      </c>
    </row>
    <row r="36" spans="1:2" x14ac:dyDescent="0.3">
      <c r="A36" t="s">
        <v>146</v>
      </c>
      <c r="B36" s="31">
        <f>SUMMARY!B68</f>
        <v>0.37832474474282241</v>
      </c>
    </row>
    <row r="37" spans="1:2" x14ac:dyDescent="0.3">
      <c r="A37" t="s">
        <v>147</v>
      </c>
      <c r="B37" s="31">
        <f>SUMMARY!C68</f>
        <v>0.4248954689309391</v>
      </c>
    </row>
    <row r="38" spans="1:2" x14ac:dyDescent="0.3">
      <c r="A38" t="s">
        <v>148</v>
      </c>
      <c r="B38" s="31">
        <f>SUMMARY!I68</f>
        <v>0.48396840053454893</v>
      </c>
    </row>
    <row r="39" spans="1:2" x14ac:dyDescent="0.3">
      <c r="A39" t="s">
        <v>151</v>
      </c>
      <c r="B39" s="31">
        <f>SUMMARY!K68</f>
        <v>0.5227909879174002</v>
      </c>
    </row>
    <row r="40" spans="1:2" x14ac:dyDescent="0.3">
      <c r="A40" t="s">
        <v>174</v>
      </c>
      <c r="B40" s="31">
        <f>SUMMARY!L68</f>
        <v>0.5340861010346224</v>
      </c>
    </row>
    <row r="41" spans="1:2" x14ac:dyDescent="0.3">
      <c r="A41" t="s">
        <v>179</v>
      </c>
      <c r="B41" s="31">
        <f>SUMMARY!M68</f>
        <v>0.53460929015351211</v>
      </c>
    </row>
    <row r="42" spans="1:2" x14ac:dyDescent="0.3">
      <c r="A42" t="s">
        <v>180</v>
      </c>
      <c r="B42" s="31">
        <f>SUMMARY!N68</f>
        <v>0.5295860918044244</v>
      </c>
    </row>
    <row r="43" spans="1:2" x14ac:dyDescent="0.3">
      <c r="A43" t="s">
        <v>212</v>
      </c>
      <c r="B43" s="31">
        <f>SUMMARY!O68</f>
        <v>0.51696920884812814</v>
      </c>
    </row>
  </sheetData>
  <pageMargins left="0.7" right="0.7" top="0.75" bottom="0.75" header="0.3" footer="0.3"/>
  <pageSetup scale="80" orientation="landscape" r:id="rId1"/>
  <headerFooter>
    <oddFooter>&amp;R&amp;12 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0:M68"/>
  <sheetViews>
    <sheetView workbookViewId="0">
      <selection activeCell="M34" sqref="M34"/>
    </sheetView>
  </sheetViews>
  <sheetFormatPr defaultRowHeight="14.4" x14ac:dyDescent="0.3"/>
  <cols>
    <col min="1" max="1" width="11.21875" bestFit="1" customWidth="1"/>
    <col min="2" max="2" width="11" bestFit="1" customWidth="1"/>
    <col min="5" max="5" width="11.21875" bestFit="1" customWidth="1"/>
    <col min="6" max="6" width="10.44140625" bestFit="1" customWidth="1"/>
  </cols>
  <sheetData>
    <row r="30" spans="5:6" x14ac:dyDescent="0.3">
      <c r="E30" t="s">
        <v>162</v>
      </c>
      <c r="F30" s="180">
        <f>SUMMARY!K4/SUMMARY!K8</f>
        <v>0.11529801885240096</v>
      </c>
    </row>
    <row r="31" spans="5:6" x14ac:dyDescent="0.3">
      <c r="E31" t="s">
        <v>163</v>
      </c>
      <c r="F31" s="179">
        <f>SUMMARY!K5/SUMMARY!K8</f>
        <v>0.79070916702123861</v>
      </c>
    </row>
    <row r="32" spans="5:6" x14ac:dyDescent="0.3">
      <c r="E32" t="s">
        <v>164</v>
      </c>
      <c r="F32" s="179">
        <f>SUMMARY!K6/SUMMARY!K8</f>
        <v>9.3992814126360402E-2</v>
      </c>
    </row>
    <row r="33" spans="2:13" x14ac:dyDescent="0.3">
      <c r="E33" t="s">
        <v>165</v>
      </c>
      <c r="F33" s="179">
        <f>SUMMARY!K7/SUMMARY!K8</f>
        <v>0</v>
      </c>
    </row>
    <row r="34" spans="2:13" ht="15.6" x14ac:dyDescent="0.3">
      <c r="B34" s="179"/>
      <c r="M34" s="181"/>
    </row>
    <row r="64" spans="5:6" x14ac:dyDescent="0.3">
      <c r="E64" t="s">
        <v>104</v>
      </c>
      <c r="F64" s="179">
        <f>SUMMARY!K13/SUMMARY!K18</f>
        <v>0.45944566732525105</v>
      </c>
    </row>
    <row r="65" spans="5:13" x14ac:dyDescent="0.3">
      <c r="E65" t="s">
        <v>105</v>
      </c>
      <c r="F65" s="179">
        <f>SUMMARY!K14/SUMMARY!K18</f>
        <v>0.12902886445989908</v>
      </c>
    </row>
    <row r="66" spans="5:13" x14ac:dyDescent="0.3">
      <c r="E66" t="s">
        <v>166</v>
      </c>
      <c r="F66" s="179">
        <f>SUMMARY!K15/SUMMARY!K18</f>
        <v>0.2809977472871637</v>
      </c>
    </row>
    <row r="67" spans="5:13" x14ac:dyDescent="0.3">
      <c r="E67" t="s">
        <v>106</v>
      </c>
      <c r="F67" s="179">
        <f>SUMMARY!K16/SUMMARY!K18</f>
        <v>0.11538242712229756</v>
      </c>
    </row>
    <row r="68" spans="5:13" ht="15.6" x14ac:dyDescent="0.3">
      <c r="E68" t="s">
        <v>167</v>
      </c>
      <c r="F68" s="179">
        <f>SUMMARY!K17/SUMMARY!K18</f>
        <v>1.5145293805388583E-2</v>
      </c>
      <c r="M68" s="181"/>
    </row>
  </sheetData>
  <pageMargins left="0.7" right="0.7" top="1" bottom="0.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56"/>
  <sheetViews>
    <sheetView workbookViewId="0">
      <selection activeCell="X15" sqref="X15"/>
    </sheetView>
  </sheetViews>
  <sheetFormatPr defaultRowHeight="14.4" x14ac:dyDescent="0.3"/>
  <cols>
    <col min="1" max="1" width="4.109375" style="66" customWidth="1"/>
    <col min="2" max="2" width="2.109375" style="66" customWidth="1"/>
    <col min="3" max="3" width="5.21875" style="66" customWidth="1"/>
    <col min="4" max="4" width="5.109375" style="66" customWidth="1"/>
    <col min="5" max="5" width="2.109375" style="66" customWidth="1"/>
    <col min="6" max="6" width="6.44140625" style="66" customWidth="1"/>
    <col min="7" max="7" width="38.6640625" style="4" customWidth="1"/>
    <col min="8" max="8" width="11" style="37" bestFit="1" customWidth="1"/>
    <col min="9" max="9" width="11" style="285" bestFit="1" customWidth="1"/>
    <col min="10" max="10" width="1.77734375" style="37" customWidth="1"/>
    <col min="11" max="11" width="14.44140625" style="9" hidden="1" customWidth="1"/>
    <col min="12" max="12" width="14.44140625" style="7" hidden="1" customWidth="1"/>
    <col min="13" max="15" width="14.44140625" style="32" customWidth="1"/>
    <col min="16" max="16" width="32.44140625" style="5" hidden="1" customWidth="1"/>
    <col min="17" max="17" width="2" style="5" customWidth="1"/>
    <col min="18" max="18" width="14.44140625" customWidth="1"/>
    <col min="19" max="19" width="11.77734375" bestFit="1" customWidth="1"/>
    <col min="20" max="20" width="8.88671875" hidden="1" customWidth="1"/>
    <col min="21" max="21" width="33.6640625" hidden="1" customWidth="1"/>
    <col min="22" max="23" width="11.77734375" style="32" bestFit="1" customWidth="1"/>
    <col min="24" max="24" width="11.77734375" bestFit="1" customWidth="1"/>
    <col min="25" max="25" width="11.44140625" bestFit="1" customWidth="1"/>
  </cols>
  <sheetData>
    <row r="1" spans="1:28" ht="15.6" x14ac:dyDescent="0.3">
      <c r="A1" s="67"/>
      <c r="B1" s="67"/>
      <c r="C1" s="67"/>
      <c r="D1" s="67"/>
      <c r="E1" s="67"/>
      <c r="F1" s="67"/>
      <c r="G1" s="1"/>
      <c r="H1" s="94" t="s">
        <v>1</v>
      </c>
      <c r="I1" s="158" t="s">
        <v>107</v>
      </c>
      <c r="J1" s="103"/>
      <c r="K1" s="104" t="s">
        <v>1</v>
      </c>
      <c r="L1" s="105" t="s">
        <v>1</v>
      </c>
      <c r="M1" s="104" t="s">
        <v>141</v>
      </c>
      <c r="N1" s="241" t="s">
        <v>141</v>
      </c>
      <c r="O1" s="240" t="s">
        <v>141</v>
      </c>
      <c r="P1" s="106"/>
      <c r="Q1" s="238"/>
      <c r="R1" s="580" t="s">
        <v>142</v>
      </c>
      <c r="S1" s="94" t="s">
        <v>173</v>
      </c>
      <c r="V1" s="94" t="s">
        <v>181</v>
      </c>
      <c r="W1" s="94" t="s">
        <v>182</v>
      </c>
      <c r="X1" s="94" t="s">
        <v>211</v>
      </c>
    </row>
    <row r="2" spans="1:28" ht="16.2" thickBot="1" x14ac:dyDescent="0.35">
      <c r="A2" s="68"/>
      <c r="B2" s="68"/>
      <c r="C2" s="68"/>
      <c r="D2" s="68"/>
      <c r="E2" s="68"/>
      <c r="F2" s="68"/>
      <c r="G2" s="6"/>
      <c r="H2" s="98" t="s">
        <v>31</v>
      </c>
      <c r="I2" s="308" t="s">
        <v>31</v>
      </c>
      <c r="J2" s="107"/>
      <c r="K2" s="108" t="s">
        <v>32</v>
      </c>
      <c r="L2" s="617" t="s">
        <v>117</v>
      </c>
      <c r="M2" s="439" t="s">
        <v>108</v>
      </c>
      <c r="N2" s="242" t="s">
        <v>111</v>
      </c>
      <c r="O2" s="243" t="s">
        <v>110</v>
      </c>
      <c r="P2" s="106"/>
      <c r="Q2" s="238"/>
      <c r="R2" s="581" t="s">
        <v>108</v>
      </c>
      <c r="S2" s="102" t="s">
        <v>110</v>
      </c>
      <c r="V2" s="102" t="s">
        <v>110</v>
      </c>
      <c r="W2" s="102" t="s">
        <v>110</v>
      </c>
      <c r="X2" s="102" t="s">
        <v>110</v>
      </c>
    </row>
    <row r="3" spans="1:28" x14ac:dyDescent="0.3">
      <c r="A3" s="67"/>
      <c r="B3" s="67"/>
      <c r="C3" s="67"/>
      <c r="D3" s="67"/>
      <c r="E3" s="67"/>
      <c r="F3" s="67"/>
      <c r="G3" s="116"/>
      <c r="H3" s="309"/>
      <c r="I3" s="426"/>
      <c r="J3" s="117"/>
      <c r="K3" s="118"/>
      <c r="L3" s="119"/>
      <c r="M3" s="526"/>
      <c r="N3" s="604"/>
      <c r="O3" s="421"/>
      <c r="P3" s="330"/>
      <c r="Q3" s="331"/>
      <c r="R3" s="641"/>
      <c r="S3" s="347"/>
      <c r="T3" s="349"/>
      <c r="U3" s="403"/>
      <c r="V3" s="351"/>
      <c r="W3" s="351"/>
      <c r="X3" s="351"/>
      <c r="Y3" s="9"/>
    </row>
    <row r="4" spans="1:28" x14ac:dyDescent="0.3">
      <c r="A4" s="69">
        <v>100</v>
      </c>
      <c r="B4" s="69">
        <v>0</v>
      </c>
      <c r="C4" s="69">
        <v>5113</v>
      </c>
      <c r="D4" s="69">
        <v>6961</v>
      </c>
      <c r="E4" s="69">
        <v>1</v>
      </c>
      <c r="F4" s="69" t="s">
        <v>122</v>
      </c>
      <c r="G4" s="120" t="s">
        <v>160</v>
      </c>
      <c r="H4" s="310">
        <v>156729.91</v>
      </c>
      <c r="I4" s="427">
        <v>706861.29</v>
      </c>
      <c r="J4" s="121"/>
      <c r="K4" s="122">
        <v>540930</v>
      </c>
      <c r="L4" s="142">
        <v>572081</v>
      </c>
      <c r="M4" s="422">
        <v>148250</v>
      </c>
      <c r="N4" s="605">
        <v>609275.07999999996</v>
      </c>
      <c r="O4" s="646">
        <v>180000</v>
      </c>
      <c r="P4" s="330" t="s">
        <v>140</v>
      </c>
      <c r="Q4" s="331"/>
      <c r="R4" s="642">
        <v>667500</v>
      </c>
      <c r="S4" s="348">
        <f>1.02*R4</f>
        <v>680850</v>
      </c>
      <c r="T4" s="349"/>
      <c r="U4" s="403"/>
      <c r="V4" s="350">
        <f>1.02*S4</f>
        <v>694467</v>
      </c>
      <c r="W4" s="350">
        <f>1.02*V4</f>
        <v>708356.34</v>
      </c>
      <c r="X4" s="350">
        <f>1.02*W4</f>
        <v>722523.46679999994</v>
      </c>
      <c r="Y4" s="352"/>
    </row>
    <row r="5" spans="1:28" x14ac:dyDescent="0.3">
      <c r="A5" s="69"/>
      <c r="B5" s="69" t="s">
        <v>122</v>
      </c>
      <c r="C5" s="69" t="s">
        <v>136</v>
      </c>
      <c r="D5" s="69" t="s">
        <v>120</v>
      </c>
      <c r="E5" s="69" t="s">
        <v>123</v>
      </c>
      <c r="F5" s="69" t="s">
        <v>122</v>
      </c>
      <c r="G5" s="120" t="s">
        <v>161</v>
      </c>
      <c r="H5" s="310">
        <v>470189.74</v>
      </c>
      <c r="I5" s="427"/>
      <c r="J5" s="121"/>
      <c r="K5" s="122"/>
      <c r="L5" s="142"/>
      <c r="M5" s="422">
        <v>444750</v>
      </c>
      <c r="N5" s="605"/>
      <c r="O5" s="646">
        <v>530000</v>
      </c>
      <c r="P5" s="330"/>
      <c r="Q5" s="331"/>
      <c r="R5" s="642"/>
      <c r="S5" s="348">
        <f>1.02*R5</f>
        <v>0</v>
      </c>
      <c r="T5" s="349"/>
      <c r="U5" s="403"/>
      <c r="V5" s="350">
        <f>1.02*S5</f>
        <v>0</v>
      </c>
      <c r="W5" s="350">
        <f>1.02*V5</f>
        <v>0</v>
      </c>
      <c r="X5" s="350">
        <f>1.02*W5</f>
        <v>0</v>
      </c>
      <c r="Y5" s="353"/>
      <c r="Z5" s="33"/>
      <c r="AA5" s="33"/>
      <c r="AB5" s="33"/>
    </row>
    <row r="6" spans="1:28" x14ac:dyDescent="0.3">
      <c r="A6" s="70">
        <v>100</v>
      </c>
      <c r="B6" s="70">
        <v>0</v>
      </c>
      <c r="C6" s="70">
        <v>5141</v>
      </c>
      <c r="D6" s="70">
        <v>6961</v>
      </c>
      <c r="E6" s="70">
        <v>1</v>
      </c>
      <c r="F6" s="70">
        <v>0</v>
      </c>
      <c r="G6" s="123" t="s">
        <v>3</v>
      </c>
      <c r="H6" s="311">
        <v>1524.49</v>
      </c>
      <c r="I6" s="427">
        <v>12778.46</v>
      </c>
      <c r="J6" s="124"/>
      <c r="K6" s="125">
        <v>1600</v>
      </c>
      <c r="L6" s="142">
        <v>1311</v>
      </c>
      <c r="M6" s="422">
        <v>74000</v>
      </c>
      <c r="N6" s="605"/>
      <c r="O6" s="618">
        <v>0</v>
      </c>
      <c r="P6" s="332"/>
      <c r="Q6" s="331"/>
      <c r="R6" s="635">
        <v>75000</v>
      </c>
      <c r="S6" s="404">
        <v>70000</v>
      </c>
      <c r="T6" s="349"/>
      <c r="U6" s="403"/>
      <c r="V6" s="185">
        <v>65000</v>
      </c>
      <c r="W6" s="185">
        <v>65000</v>
      </c>
      <c r="X6" s="185">
        <v>65000</v>
      </c>
      <c r="Y6" s="352"/>
    </row>
    <row r="7" spans="1:28" x14ac:dyDescent="0.3">
      <c r="A7" s="70">
        <v>100</v>
      </c>
      <c r="B7" s="70">
        <v>0</v>
      </c>
      <c r="C7" s="70">
        <v>5151</v>
      </c>
      <c r="D7" s="70">
        <v>6961</v>
      </c>
      <c r="E7" s="70">
        <v>1</v>
      </c>
      <c r="F7" s="70">
        <v>0</v>
      </c>
      <c r="G7" s="123" t="s">
        <v>4</v>
      </c>
      <c r="H7" s="310"/>
      <c r="I7" s="427">
        <v>23998.58</v>
      </c>
      <c r="J7" s="121"/>
      <c r="K7" s="122">
        <v>27300</v>
      </c>
      <c r="L7" s="142">
        <v>0</v>
      </c>
      <c r="M7" s="422">
        <v>26000</v>
      </c>
      <c r="N7" s="605">
        <v>5530.55</v>
      </c>
      <c r="O7" s="618">
        <v>7000</v>
      </c>
      <c r="P7" s="333"/>
      <c r="Q7" s="334"/>
      <c r="R7" s="642"/>
      <c r="S7" s="348">
        <f>R7*1.06</f>
        <v>0</v>
      </c>
      <c r="T7" s="349"/>
      <c r="U7" s="403"/>
      <c r="V7" s="350">
        <f>1.04*S7</f>
        <v>0</v>
      </c>
      <c r="W7" s="350">
        <f>V7*1.04</f>
        <v>0</v>
      </c>
      <c r="X7" s="350">
        <f>W7*1.04</f>
        <v>0</v>
      </c>
      <c r="Y7" s="352"/>
    </row>
    <row r="8" spans="1:28" ht="15.6" customHeight="1" x14ac:dyDescent="0.3">
      <c r="A8" s="70">
        <v>100</v>
      </c>
      <c r="B8" s="70">
        <v>0</v>
      </c>
      <c r="C8" s="70">
        <v>5161</v>
      </c>
      <c r="D8" s="70">
        <v>6961</v>
      </c>
      <c r="E8" s="70">
        <v>1</v>
      </c>
      <c r="F8" s="70">
        <v>0</v>
      </c>
      <c r="G8" s="123" t="s">
        <v>24</v>
      </c>
      <c r="H8" s="310"/>
      <c r="I8" s="427">
        <v>561.36</v>
      </c>
      <c r="J8" s="121"/>
      <c r="K8" s="122">
        <v>0</v>
      </c>
      <c r="L8" s="142">
        <v>0</v>
      </c>
      <c r="M8" s="422">
        <v>750</v>
      </c>
      <c r="N8" s="605"/>
      <c r="O8" s="618">
        <v>250</v>
      </c>
      <c r="P8" s="333"/>
      <c r="Q8" s="334"/>
      <c r="R8" s="642">
        <v>750</v>
      </c>
      <c r="S8" s="348">
        <f>R8</f>
        <v>750</v>
      </c>
      <c r="T8" s="349"/>
      <c r="U8" s="403"/>
      <c r="V8" s="350">
        <f>S8</f>
        <v>750</v>
      </c>
      <c r="W8" s="350">
        <f>V8</f>
        <v>750</v>
      </c>
      <c r="X8" s="350">
        <f>W8</f>
        <v>750</v>
      </c>
      <c r="Y8" s="528"/>
    </row>
    <row r="9" spans="1:28" x14ac:dyDescent="0.3">
      <c r="A9" s="70">
        <v>100</v>
      </c>
      <c r="B9" s="70">
        <v>0</v>
      </c>
      <c r="C9" s="70">
        <v>5182</v>
      </c>
      <c r="D9" s="70">
        <v>6961</v>
      </c>
      <c r="E9" s="70">
        <v>1</v>
      </c>
      <c r="F9" s="70">
        <v>0</v>
      </c>
      <c r="G9" s="123" t="s">
        <v>5</v>
      </c>
      <c r="H9" s="310"/>
      <c r="I9" s="427">
        <v>0</v>
      </c>
      <c r="J9" s="121"/>
      <c r="K9" s="122">
        <v>42412</v>
      </c>
      <c r="L9" s="142">
        <v>42412</v>
      </c>
      <c r="M9" s="422">
        <v>0</v>
      </c>
      <c r="N9" s="605"/>
      <c r="O9" s="618">
        <v>0</v>
      </c>
      <c r="P9" s="333"/>
      <c r="Q9" s="334"/>
      <c r="R9" s="642">
        <v>0</v>
      </c>
      <c r="S9" s="348">
        <f>U9</f>
        <v>0</v>
      </c>
      <c r="T9" s="349"/>
      <c r="U9" s="403"/>
      <c r="V9" s="350">
        <f>U9</f>
        <v>0</v>
      </c>
      <c r="W9" s="350">
        <f>Y9</f>
        <v>0</v>
      </c>
      <c r="X9" s="350">
        <f>Z9</f>
        <v>0</v>
      </c>
      <c r="Y9" s="352"/>
    </row>
    <row r="10" spans="1:28" x14ac:dyDescent="0.3">
      <c r="A10" s="69" t="s">
        <v>137</v>
      </c>
      <c r="B10" s="69" t="s">
        <v>122</v>
      </c>
      <c r="C10" s="69">
        <v>5192</v>
      </c>
      <c r="D10" s="69" t="s">
        <v>120</v>
      </c>
      <c r="E10" s="69" t="s">
        <v>123</v>
      </c>
      <c r="F10" s="69" t="s">
        <v>122</v>
      </c>
      <c r="G10" s="123" t="s">
        <v>6</v>
      </c>
      <c r="H10" s="310">
        <v>85211.1</v>
      </c>
      <c r="I10" s="427">
        <v>122194.78</v>
      </c>
      <c r="J10" s="121"/>
      <c r="K10" s="122">
        <v>150000</v>
      </c>
      <c r="L10" s="142">
        <v>220000</v>
      </c>
      <c r="M10" s="422">
        <v>115000</v>
      </c>
      <c r="N10" s="605">
        <v>140599.17000000001</v>
      </c>
      <c r="O10" s="646">
        <v>150000</v>
      </c>
      <c r="P10" s="333"/>
      <c r="Q10" s="334"/>
      <c r="R10" s="642">
        <v>100000</v>
      </c>
      <c r="S10" s="348">
        <f>R10*1.05</f>
        <v>105000</v>
      </c>
      <c r="T10" s="349"/>
      <c r="U10" s="403"/>
      <c r="V10" s="350">
        <f>S10*1.05</f>
        <v>110250</v>
      </c>
      <c r="W10" s="350">
        <f>V10*1.05</f>
        <v>115762.5</v>
      </c>
      <c r="X10" s="350">
        <f>W10*1.05</f>
        <v>121550.625</v>
      </c>
      <c r="Y10" s="9"/>
    </row>
    <row r="11" spans="1:28" x14ac:dyDescent="0.3">
      <c r="A11" s="69">
        <v>100</v>
      </c>
      <c r="B11" s="69">
        <v>0</v>
      </c>
      <c r="C11" s="69">
        <v>5194</v>
      </c>
      <c r="D11" s="69" t="s">
        <v>120</v>
      </c>
      <c r="E11" s="69">
        <v>1</v>
      </c>
      <c r="F11" s="69">
        <v>0</v>
      </c>
      <c r="G11" s="123" t="s">
        <v>7</v>
      </c>
      <c r="H11" s="310">
        <v>367</v>
      </c>
      <c r="I11" s="427"/>
      <c r="J11" s="121"/>
      <c r="K11" s="122">
        <v>0</v>
      </c>
      <c r="L11" s="142">
        <v>0</v>
      </c>
      <c r="M11" s="422">
        <v>800</v>
      </c>
      <c r="N11" s="605"/>
      <c r="O11" s="618">
        <v>800</v>
      </c>
      <c r="P11" s="333"/>
      <c r="Q11" s="334"/>
      <c r="R11" s="642">
        <v>800</v>
      </c>
      <c r="S11" s="348">
        <f>R11</f>
        <v>800</v>
      </c>
      <c r="T11" s="349"/>
      <c r="U11" s="403"/>
      <c r="V11" s="350">
        <f>S11</f>
        <v>800</v>
      </c>
      <c r="W11" s="350">
        <f>V11</f>
        <v>800</v>
      </c>
      <c r="X11" s="350">
        <f>W11</f>
        <v>800</v>
      </c>
    </row>
    <row r="12" spans="1:28" ht="15" thickBot="1" x14ac:dyDescent="0.35">
      <c r="A12" s="69">
        <v>100</v>
      </c>
      <c r="B12" s="69">
        <v>0</v>
      </c>
      <c r="C12" s="69">
        <v>5198</v>
      </c>
      <c r="D12" s="69">
        <v>6961</v>
      </c>
      <c r="E12" s="69">
        <v>1</v>
      </c>
      <c r="F12" s="69">
        <v>0</v>
      </c>
      <c r="G12" s="123" t="s">
        <v>8</v>
      </c>
      <c r="H12" s="312">
        <v>5756.03</v>
      </c>
      <c r="I12" s="428">
        <v>20334.79</v>
      </c>
      <c r="J12" s="126"/>
      <c r="K12" s="127">
        <v>35000</v>
      </c>
      <c r="L12" s="143">
        <v>118000</v>
      </c>
      <c r="M12" s="423">
        <v>22000</v>
      </c>
      <c r="N12" s="607">
        <v>62778.39</v>
      </c>
      <c r="O12" s="619">
        <v>80000</v>
      </c>
      <c r="P12" s="333"/>
      <c r="Q12" s="334"/>
      <c r="R12" s="643">
        <v>22000</v>
      </c>
      <c r="S12" s="405">
        <f>R12</f>
        <v>22000</v>
      </c>
      <c r="T12" s="349"/>
      <c r="U12" s="406"/>
      <c r="V12" s="407">
        <f>S12</f>
        <v>22000</v>
      </c>
      <c r="W12" s="407">
        <f>V12</f>
        <v>22000</v>
      </c>
      <c r="X12" s="407">
        <f>W12</f>
        <v>22000</v>
      </c>
    </row>
    <row r="13" spans="1:28" ht="16.2" thickTop="1" x14ac:dyDescent="0.3">
      <c r="B13" s="70"/>
      <c r="C13" s="70"/>
      <c r="D13" s="70"/>
      <c r="E13" s="70"/>
      <c r="F13" s="70"/>
      <c r="G13" s="146" t="s">
        <v>22</v>
      </c>
      <c r="H13" s="395">
        <f>SUM(H3:H12)</f>
        <v>719778.27</v>
      </c>
      <c r="I13" s="396">
        <f>SUM(I3:I12)</f>
        <v>886729.26</v>
      </c>
      <c r="J13" s="282"/>
      <c r="K13" s="283">
        <f t="shared" ref="K13:O13" si="0">SUM(K3:K12)</f>
        <v>797242</v>
      </c>
      <c r="L13" s="284">
        <f t="shared" si="0"/>
        <v>953804</v>
      </c>
      <c r="M13" s="283">
        <f t="shared" si="0"/>
        <v>831550</v>
      </c>
      <c r="N13" s="606">
        <f t="shared" si="0"/>
        <v>818183.19000000006</v>
      </c>
      <c r="O13" s="608">
        <f t="shared" si="0"/>
        <v>948050</v>
      </c>
      <c r="P13" s="335"/>
      <c r="Q13" s="336"/>
      <c r="R13" s="637">
        <f>SUM(R3:R12)</f>
        <v>866050</v>
      </c>
      <c r="S13" s="395">
        <f>SUM(S3:S12)</f>
        <v>879400</v>
      </c>
      <c r="T13" s="349"/>
      <c r="U13" s="403"/>
      <c r="V13" s="396">
        <f>SUM(V3:V12)</f>
        <v>893267</v>
      </c>
      <c r="W13" s="396">
        <f>SUM(W3:W12)</f>
        <v>912668.84</v>
      </c>
      <c r="X13" s="396">
        <f>SUM(X3:X12)</f>
        <v>932624.09179999994</v>
      </c>
    </row>
    <row r="14" spans="1:28" x14ac:dyDescent="0.3">
      <c r="B14" s="70"/>
      <c r="C14" s="70"/>
      <c r="D14" s="70"/>
      <c r="E14" s="70"/>
      <c r="F14" s="70"/>
      <c r="G14" s="128"/>
      <c r="H14" s="313"/>
      <c r="I14" s="429"/>
      <c r="J14" s="129"/>
      <c r="K14" s="130"/>
      <c r="L14" s="131"/>
      <c r="M14" s="527"/>
      <c r="N14" s="609"/>
      <c r="O14" s="523"/>
      <c r="P14" s="132"/>
      <c r="Q14" s="239"/>
      <c r="R14" s="642"/>
      <c r="S14" s="348"/>
      <c r="T14" s="349"/>
      <c r="U14" s="403"/>
      <c r="V14" s="350"/>
      <c r="W14" s="350"/>
      <c r="X14" s="350"/>
    </row>
    <row r="15" spans="1:28" x14ac:dyDescent="0.3">
      <c r="A15" s="65" t="s">
        <v>137</v>
      </c>
      <c r="B15" s="65" t="s">
        <v>178</v>
      </c>
      <c r="C15" s="65" t="s">
        <v>138</v>
      </c>
      <c r="D15" s="65" t="s">
        <v>120</v>
      </c>
      <c r="E15" s="65" t="s">
        <v>121</v>
      </c>
      <c r="F15" s="65" t="s">
        <v>176</v>
      </c>
      <c r="G15" s="133" t="s">
        <v>159</v>
      </c>
      <c r="H15" s="314">
        <v>2637790</v>
      </c>
      <c r="I15" s="427">
        <v>2698030.07</v>
      </c>
      <c r="J15" s="134"/>
      <c r="K15" s="135"/>
      <c r="L15" s="142"/>
      <c r="M15" s="422">
        <v>2465000</v>
      </c>
      <c r="N15" s="605">
        <v>4082701</v>
      </c>
      <c r="O15" s="646">
        <v>2210000</v>
      </c>
      <c r="P15" s="330"/>
      <c r="Q15" s="331"/>
      <c r="R15" s="642">
        <v>5264086</v>
      </c>
      <c r="S15" s="408">
        <v>5563951</v>
      </c>
      <c r="T15" s="348" t="str">
        <f>U15</f>
        <v>New from MO - increase by $1900 X 432 = $820,800</v>
      </c>
      <c r="U15" s="409" t="s">
        <v>156</v>
      </c>
      <c r="V15" s="350">
        <v>5729257</v>
      </c>
      <c r="W15" s="410">
        <v>5827544</v>
      </c>
      <c r="X15" s="410">
        <v>5938963</v>
      </c>
    </row>
    <row r="16" spans="1:28" x14ac:dyDescent="0.3">
      <c r="A16" s="65">
        <v>200</v>
      </c>
      <c r="B16" s="65">
        <v>0</v>
      </c>
      <c r="C16" s="65">
        <v>5311</v>
      </c>
      <c r="D16" s="65">
        <v>6961</v>
      </c>
      <c r="E16" s="65">
        <v>3</v>
      </c>
      <c r="F16" s="65" t="s">
        <v>176</v>
      </c>
      <c r="G16" s="133" t="s">
        <v>158</v>
      </c>
      <c r="H16" s="314">
        <v>2179020</v>
      </c>
      <c r="I16" s="427">
        <v>2698710.42</v>
      </c>
      <c r="J16" s="134"/>
      <c r="K16" s="135">
        <v>4626244</v>
      </c>
      <c r="L16" s="142">
        <v>4406323</v>
      </c>
      <c r="M16" s="422">
        <v>3000000</v>
      </c>
      <c r="N16" s="605"/>
      <c r="O16" s="646">
        <v>2681969</v>
      </c>
      <c r="P16" s="330" t="s">
        <v>139</v>
      </c>
      <c r="Q16" s="331"/>
      <c r="R16" s="642"/>
      <c r="S16" s="408"/>
      <c r="T16" s="348"/>
      <c r="U16" s="411"/>
      <c r="V16" s="350"/>
      <c r="W16" s="410"/>
      <c r="X16" s="410"/>
    </row>
    <row r="17" spans="1:24" x14ac:dyDescent="0.3">
      <c r="A17" s="65">
        <v>100</v>
      </c>
      <c r="B17" s="65">
        <v>0</v>
      </c>
      <c r="C17" s="65">
        <v>5312</v>
      </c>
      <c r="D17" s="65">
        <v>6961</v>
      </c>
      <c r="E17" s="65">
        <v>3</v>
      </c>
      <c r="F17" s="65" t="s">
        <v>176</v>
      </c>
      <c r="G17" s="123" t="s">
        <v>9</v>
      </c>
      <c r="H17" s="314">
        <v>38818</v>
      </c>
      <c r="I17" s="427">
        <v>119218</v>
      </c>
      <c r="J17" s="134"/>
      <c r="K17" s="135">
        <f>62000*0.9</f>
        <v>55800</v>
      </c>
      <c r="L17" s="142">
        <v>50000</v>
      </c>
      <c r="M17" s="422">
        <v>277000</v>
      </c>
      <c r="N17" s="605">
        <v>242019</v>
      </c>
      <c r="O17" s="646">
        <v>290423</v>
      </c>
      <c r="P17" s="333" t="s">
        <v>114</v>
      </c>
      <c r="Q17" s="334"/>
      <c r="R17" s="642">
        <v>380000</v>
      </c>
      <c r="S17" s="408">
        <f>1.03*R17</f>
        <v>391400</v>
      </c>
      <c r="T17" s="348" t="str">
        <f>U17</f>
        <v>State fully funding 75% reimbursement</v>
      </c>
      <c r="U17" s="409" t="s">
        <v>143</v>
      </c>
      <c r="V17" s="408">
        <f>1.03*S17</f>
        <v>403142</v>
      </c>
      <c r="W17" s="408">
        <f>1.03*V17</f>
        <v>415236.26</v>
      </c>
      <c r="X17" s="408">
        <f>1.03*W17</f>
        <v>427693.34780000005</v>
      </c>
    </row>
    <row r="18" spans="1:24" x14ac:dyDescent="0.3">
      <c r="A18" s="65" t="s">
        <v>137</v>
      </c>
      <c r="B18" s="65" t="s">
        <v>122</v>
      </c>
      <c r="C18" s="65" t="s">
        <v>175</v>
      </c>
      <c r="D18" s="65" t="s">
        <v>120</v>
      </c>
      <c r="E18" s="65" t="s">
        <v>121</v>
      </c>
      <c r="F18" s="65" t="s">
        <v>176</v>
      </c>
      <c r="G18" s="123" t="s">
        <v>177</v>
      </c>
      <c r="H18" s="314"/>
      <c r="I18" s="427">
        <v>50328.73</v>
      </c>
      <c r="J18" s="134"/>
      <c r="K18" s="135"/>
      <c r="L18" s="142"/>
      <c r="M18" s="422">
        <v>52000</v>
      </c>
      <c r="N18" s="605">
        <v>31768.84</v>
      </c>
      <c r="O18" s="618">
        <v>52000</v>
      </c>
      <c r="P18" s="333"/>
      <c r="Q18" s="334"/>
      <c r="R18" s="642">
        <v>52000</v>
      </c>
      <c r="S18" s="408">
        <v>54000</v>
      </c>
      <c r="T18" s="412"/>
      <c r="U18" s="409"/>
      <c r="V18" s="350">
        <v>56000</v>
      </c>
      <c r="W18" s="410">
        <v>58000</v>
      </c>
      <c r="X18" s="410">
        <v>58000</v>
      </c>
    </row>
    <row r="19" spans="1:24" x14ac:dyDescent="0.3">
      <c r="A19" s="65" t="s">
        <v>137</v>
      </c>
      <c r="B19" s="65">
        <v>0</v>
      </c>
      <c r="C19" s="65">
        <v>5319</v>
      </c>
      <c r="D19" s="65">
        <v>6961</v>
      </c>
      <c r="E19" s="65">
        <v>3</v>
      </c>
      <c r="F19" s="65" t="s">
        <v>176</v>
      </c>
      <c r="G19" s="123" t="s">
        <v>10</v>
      </c>
      <c r="H19" s="314">
        <v>174265.08</v>
      </c>
      <c r="I19" s="427">
        <v>172459.79</v>
      </c>
      <c r="J19" s="134"/>
      <c r="K19" s="135">
        <v>173000</v>
      </c>
      <c r="L19" s="142">
        <v>173000</v>
      </c>
      <c r="M19" s="422">
        <v>172080</v>
      </c>
      <c r="N19" s="605">
        <v>139815.95000000001</v>
      </c>
      <c r="O19" s="646">
        <v>167782</v>
      </c>
      <c r="P19" s="330" t="s">
        <v>139</v>
      </c>
      <c r="Q19" s="331"/>
      <c r="R19" s="642">
        <v>222500</v>
      </c>
      <c r="S19" s="348">
        <f t="shared" ref="S19" si="1">R19</f>
        <v>222500</v>
      </c>
      <c r="T19" s="349"/>
      <c r="U19" s="403"/>
      <c r="V19" s="350">
        <f>S19</f>
        <v>222500</v>
      </c>
      <c r="W19" s="350">
        <f>V19</f>
        <v>222500</v>
      </c>
      <c r="X19" s="350">
        <f>W19</f>
        <v>222500</v>
      </c>
    </row>
    <row r="20" spans="1:24" x14ac:dyDescent="0.3">
      <c r="A20" s="66">
        <v>100</v>
      </c>
      <c r="B20" s="70">
        <v>0</v>
      </c>
      <c r="C20" s="70">
        <v>5397</v>
      </c>
      <c r="D20" s="70">
        <v>6961</v>
      </c>
      <c r="E20" s="70">
        <v>3</v>
      </c>
      <c r="F20" s="70">
        <v>0</v>
      </c>
      <c r="G20" s="123" t="s">
        <v>11</v>
      </c>
      <c r="H20" s="314">
        <v>1835.46</v>
      </c>
      <c r="I20" s="427">
        <v>878.94</v>
      </c>
      <c r="J20" s="134"/>
      <c r="K20" s="135">
        <v>2240</v>
      </c>
      <c r="L20" s="142">
        <v>2240</v>
      </c>
      <c r="M20" s="422">
        <v>0</v>
      </c>
      <c r="N20" s="605"/>
      <c r="O20" s="618">
        <v>0</v>
      </c>
      <c r="P20" s="333"/>
      <c r="Q20" s="334"/>
      <c r="R20" s="642">
        <v>0</v>
      </c>
      <c r="S20" s="348">
        <f>Q20</f>
        <v>0</v>
      </c>
      <c r="T20" s="349"/>
      <c r="U20" s="403"/>
      <c r="V20" s="350">
        <f>R20</f>
        <v>0</v>
      </c>
      <c r="W20" s="350">
        <f>T20</f>
        <v>0</v>
      </c>
      <c r="X20" s="350">
        <f>U20</f>
        <v>0</v>
      </c>
    </row>
    <row r="21" spans="1:24" x14ac:dyDescent="0.3">
      <c r="A21" s="66">
        <v>400</v>
      </c>
      <c r="B21" s="70">
        <v>0</v>
      </c>
      <c r="C21" s="70">
        <v>5366</v>
      </c>
      <c r="D21" s="70">
        <v>6961</v>
      </c>
      <c r="E21" s="70">
        <v>3</v>
      </c>
      <c r="F21" s="70">
        <v>0</v>
      </c>
      <c r="G21" s="123" t="s">
        <v>113</v>
      </c>
      <c r="H21" s="314"/>
      <c r="I21" s="427">
        <v>0</v>
      </c>
      <c r="J21" s="134"/>
      <c r="K21" s="135">
        <v>0</v>
      </c>
      <c r="L21" s="142">
        <v>0</v>
      </c>
      <c r="M21" s="422">
        <v>0</v>
      </c>
      <c r="N21" s="605"/>
      <c r="O21" s="618">
        <v>0</v>
      </c>
      <c r="P21" s="337"/>
      <c r="Q21" s="334"/>
      <c r="R21" s="642">
        <v>0</v>
      </c>
      <c r="S21" s="348">
        <v>0</v>
      </c>
      <c r="T21" s="349"/>
      <c r="U21" s="403"/>
      <c r="V21" s="350">
        <v>0</v>
      </c>
      <c r="W21" s="350">
        <v>0</v>
      </c>
      <c r="X21" s="350">
        <v>0</v>
      </c>
    </row>
    <row r="22" spans="1:24" x14ac:dyDescent="0.3">
      <c r="A22" s="66">
        <v>100</v>
      </c>
      <c r="B22" s="70">
        <v>0</v>
      </c>
      <c r="C22" s="70">
        <v>5381</v>
      </c>
      <c r="D22" s="70">
        <v>6961</v>
      </c>
      <c r="E22" s="70">
        <v>3</v>
      </c>
      <c r="F22" s="70">
        <v>0</v>
      </c>
      <c r="G22" s="123" t="s">
        <v>12</v>
      </c>
      <c r="H22" s="314">
        <v>0</v>
      </c>
      <c r="I22" s="427">
        <v>0</v>
      </c>
      <c r="J22" s="134"/>
      <c r="K22" s="135">
        <v>0</v>
      </c>
      <c r="L22" s="142">
        <v>0</v>
      </c>
      <c r="M22" s="422">
        <v>70000</v>
      </c>
      <c r="N22" s="605"/>
      <c r="O22" s="618"/>
      <c r="P22" s="337"/>
      <c r="Q22" s="334"/>
      <c r="R22" s="642">
        <v>20000</v>
      </c>
      <c r="S22" s="348">
        <f>R22</f>
        <v>20000</v>
      </c>
      <c r="T22" s="349"/>
      <c r="U22" s="403"/>
      <c r="V22" s="350">
        <f>S22</f>
        <v>20000</v>
      </c>
      <c r="W22" s="350">
        <f>V22</f>
        <v>20000</v>
      </c>
      <c r="X22" s="350">
        <f>W22</f>
        <v>20000</v>
      </c>
    </row>
    <row r="23" spans="1:24" x14ac:dyDescent="0.3">
      <c r="A23" s="66">
        <v>100</v>
      </c>
      <c r="B23" s="70">
        <v>0</v>
      </c>
      <c r="C23" s="70">
        <v>5397</v>
      </c>
      <c r="D23" s="70">
        <v>6961</v>
      </c>
      <c r="E23" s="70">
        <v>3</v>
      </c>
      <c r="F23" s="70">
        <v>0</v>
      </c>
      <c r="G23" s="123" t="s">
        <v>192</v>
      </c>
      <c r="H23" s="314"/>
      <c r="I23" s="427">
        <v>495.09</v>
      </c>
      <c r="J23" s="134"/>
      <c r="K23" s="135"/>
      <c r="L23" s="142"/>
      <c r="M23" s="422">
        <v>0</v>
      </c>
      <c r="N23" s="605">
        <v>230127.85</v>
      </c>
      <c r="O23" s="646">
        <v>240000</v>
      </c>
      <c r="P23" s="337"/>
      <c r="Q23" s="334"/>
      <c r="R23" s="642">
        <v>0</v>
      </c>
      <c r="S23" s="348"/>
      <c r="T23" s="349"/>
      <c r="U23" s="403"/>
      <c r="V23" s="350"/>
      <c r="W23" s="350"/>
      <c r="X23" s="350"/>
    </row>
    <row r="24" spans="1:24" x14ac:dyDescent="0.3">
      <c r="A24" s="66">
        <v>100</v>
      </c>
      <c r="B24" s="70">
        <v>0</v>
      </c>
      <c r="C24" s="70">
        <v>5497</v>
      </c>
      <c r="D24" s="70">
        <v>6961</v>
      </c>
      <c r="E24" s="70">
        <v>3</v>
      </c>
      <c r="F24" s="70">
        <v>0</v>
      </c>
      <c r="G24" s="123" t="s">
        <v>193</v>
      </c>
      <c r="H24" s="314">
        <v>0</v>
      </c>
      <c r="I24" s="427"/>
      <c r="J24" s="134"/>
      <c r="K24" s="135">
        <v>0</v>
      </c>
      <c r="L24" s="142">
        <v>0</v>
      </c>
      <c r="M24" s="422">
        <v>750</v>
      </c>
      <c r="N24" s="605"/>
      <c r="O24" s="618">
        <v>0</v>
      </c>
      <c r="P24" s="333"/>
      <c r="Q24" s="334"/>
      <c r="R24" s="642">
        <v>750</v>
      </c>
      <c r="S24" s="348">
        <f>R24</f>
        <v>750</v>
      </c>
      <c r="T24" s="349"/>
      <c r="U24" s="403"/>
      <c r="V24" s="350">
        <f>S24</f>
        <v>750</v>
      </c>
      <c r="W24" s="350">
        <f>V24</f>
        <v>750</v>
      </c>
      <c r="X24" s="350">
        <f>W24</f>
        <v>750</v>
      </c>
    </row>
    <row r="25" spans="1:24" ht="15" thickBot="1" x14ac:dyDescent="0.35">
      <c r="B25" s="70"/>
      <c r="C25" s="70"/>
      <c r="D25" s="70"/>
      <c r="E25" s="70"/>
      <c r="F25" s="70"/>
      <c r="G25" s="379" t="s">
        <v>13</v>
      </c>
      <c r="H25" s="315">
        <v>0</v>
      </c>
      <c r="I25" s="428">
        <v>0</v>
      </c>
      <c r="J25" s="137"/>
      <c r="K25" s="138">
        <v>3000</v>
      </c>
      <c r="L25" s="143">
        <v>3000</v>
      </c>
      <c r="M25" s="423">
        <v>0</v>
      </c>
      <c r="N25" s="607"/>
      <c r="O25" s="619">
        <v>0</v>
      </c>
      <c r="P25" s="333"/>
      <c r="Q25" s="334"/>
      <c r="R25" s="643">
        <v>0</v>
      </c>
      <c r="S25" s="405">
        <f>U25</f>
        <v>0</v>
      </c>
      <c r="T25" s="349"/>
      <c r="U25" s="403"/>
      <c r="V25" s="407">
        <f>U25</f>
        <v>0</v>
      </c>
      <c r="W25" s="407">
        <f>Y25</f>
        <v>0</v>
      </c>
      <c r="X25" s="407">
        <f>Z25</f>
        <v>0</v>
      </c>
    </row>
    <row r="26" spans="1:24" ht="16.2" thickTop="1" x14ac:dyDescent="0.3">
      <c r="B26" s="70"/>
      <c r="C26" s="70"/>
      <c r="D26" s="70"/>
      <c r="E26" s="70"/>
      <c r="F26" s="70"/>
      <c r="G26" s="146" t="s">
        <v>23</v>
      </c>
      <c r="H26" s="397">
        <f>SUM(H15:H25)</f>
        <v>5031728.54</v>
      </c>
      <c r="I26" s="398">
        <f>SUM(I15:I25)</f>
        <v>5740121.040000001</v>
      </c>
      <c r="J26" s="147"/>
      <c r="K26" s="148">
        <f>SUM(K15:K25)</f>
        <v>4860284</v>
      </c>
      <c r="L26" s="149">
        <f>SUM(L15:L25)</f>
        <v>4634563</v>
      </c>
      <c r="M26" s="620">
        <f>SUM(M15:M25)</f>
        <v>6036830</v>
      </c>
      <c r="N26" s="610">
        <f>SUM(N15:N25)</f>
        <v>4726432.6399999997</v>
      </c>
      <c r="O26" s="611">
        <f>SUM(O15:O25)</f>
        <v>5642174</v>
      </c>
      <c r="P26" s="338"/>
      <c r="Q26" s="339"/>
      <c r="R26" s="638">
        <f>SUM(R15:R25)</f>
        <v>5939336</v>
      </c>
      <c r="S26" s="413">
        <f>SUM(S15:S25)</f>
        <v>6252601</v>
      </c>
      <c r="T26" s="349"/>
      <c r="U26" s="403"/>
      <c r="V26" s="414">
        <f>SUM(V15:V25)</f>
        <v>6431649</v>
      </c>
      <c r="W26" s="414">
        <f>SUM(W15:W25)</f>
        <v>6544030.2599999998</v>
      </c>
      <c r="X26" s="414">
        <f>SUM(X15:X25)</f>
        <v>6667906.3477999996</v>
      </c>
    </row>
    <row r="27" spans="1:24" x14ac:dyDescent="0.3">
      <c r="B27" s="70"/>
      <c r="C27" s="70"/>
      <c r="D27" s="70"/>
      <c r="E27" s="70"/>
      <c r="F27" s="70"/>
      <c r="G27" s="128"/>
      <c r="H27" s="313"/>
      <c r="I27" s="427"/>
      <c r="J27" s="129"/>
      <c r="K27" s="130"/>
      <c r="L27" s="142"/>
      <c r="M27" s="422"/>
      <c r="N27" s="244"/>
      <c r="O27" s="618"/>
      <c r="P27" s="333"/>
      <c r="Q27" s="334"/>
      <c r="R27" s="642"/>
      <c r="S27" s="348"/>
      <c r="T27" s="349"/>
      <c r="U27" s="403"/>
      <c r="V27" s="350"/>
      <c r="W27" s="350"/>
      <c r="X27" s="350"/>
    </row>
    <row r="28" spans="1:24" x14ac:dyDescent="0.3">
      <c r="A28" s="65">
        <v>100</v>
      </c>
      <c r="B28" s="65">
        <v>0</v>
      </c>
      <c r="C28" s="65">
        <v>5412</v>
      </c>
      <c r="D28" s="65">
        <v>6961</v>
      </c>
      <c r="E28" s="65">
        <v>4</v>
      </c>
      <c r="F28" s="65" t="s">
        <v>176</v>
      </c>
      <c r="G28" s="123" t="s">
        <v>14</v>
      </c>
      <c r="H28" s="314">
        <v>72628.98</v>
      </c>
      <c r="I28" s="427">
        <v>65959.11</v>
      </c>
      <c r="J28" s="134"/>
      <c r="K28" s="135">
        <v>28000</v>
      </c>
      <c r="L28" s="142">
        <v>30000</v>
      </c>
      <c r="M28" s="422">
        <v>70000</v>
      </c>
      <c r="N28" s="605">
        <v>81142.820000000007</v>
      </c>
      <c r="O28" s="646">
        <v>81143</v>
      </c>
      <c r="P28" s="333"/>
      <c r="Q28" s="334"/>
      <c r="R28" s="642">
        <v>70000</v>
      </c>
      <c r="S28" s="348">
        <f>R28*1.02</f>
        <v>71400</v>
      </c>
      <c r="T28" s="349"/>
      <c r="U28" s="403"/>
      <c r="V28" s="350">
        <f>S28*1.02</f>
        <v>72828</v>
      </c>
      <c r="W28" s="350">
        <f>V28*1.02</f>
        <v>74284.56</v>
      </c>
      <c r="X28" s="350">
        <f>W28*1.02</f>
        <v>75770.251199999999</v>
      </c>
    </row>
    <row r="29" spans="1:24" x14ac:dyDescent="0.3">
      <c r="A29" s="65"/>
      <c r="B29" s="65"/>
      <c r="C29" s="65"/>
      <c r="D29" s="65"/>
      <c r="E29" s="65"/>
      <c r="F29" s="65"/>
      <c r="G29" s="123" t="s">
        <v>206</v>
      </c>
      <c r="H29" s="314"/>
      <c r="I29" s="427"/>
      <c r="J29" s="134"/>
      <c r="K29" s="135"/>
      <c r="L29" s="142"/>
      <c r="M29" s="422"/>
      <c r="N29" s="605">
        <v>50000</v>
      </c>
      <c r="O29" s="618">
        <v>50000</v>
      </c>
      <c r="P29" s="333"/>
      <c r="Q29" s="334"/>
      <c r="R29" s="642"/>
      <c r="S29" s="348">
        <f t="shared" ref="S29:S49" si="2">R29*1.02</f>
        <v>0</v>
      </c>
      <c r="T29" s="349"/>
      <c r="U29" s="403"/>
      <c r="V29" s="350">
        <f t="shared" ref="V29:V49" si="3">S29*1.02</f>
        <v>0</v>
      </c>
      <c r="W29" s="350">
        <f t="shared" ref="W29:X49" si="4">V29*1.02</f>
        <v>0</v>
      </c>
      <c r="X29" s="350">
        <f t="shared" si="4"/>
        <v>0</v>
      </c>
    </row>
    <row r="30" spans="1:24" x14ac:dyDescent="0.3">
      <c r="A30" s="66">
        <v>100</v>
      </c>
      <c r="B30" s="70">
        <v>0</v>
      </c>
      <c r="C30" s="70">
        <v>5422</v>
      </c>
      <c r="D30" s="70">
        <v>6961</v>
      </c>
      <c r="E30" s="70">
        <v>4</v>
      </c>
      <c r="F30" s="70">
        <v>42200</v>
      </c>
      <c r="G30" s="123" t="s">
        <v>109</v>
      </c>
      <c r="H30" s="314"/>
      <c r="I30" s="427">
        <v>923515.43</v>
      </c>
      <c r="J30" s="134"/>
      <c r="K30" s="135">
        <v>0</v>
      </c>
      <c r="L30" s="142">
        <v>0</v>
      </c>
      <c r="M30" s="422">
        <v>1238270</v>
      </c>
      <c r="N30" s="605">
        <v>913386.52</v>
      </c>
      <c r="O30" s="618">
        <f>1238270+60424</f>
        <v>1298694</v>
      </c>
      <c r="P30" s="333" t="s">
        <v>115</v>
      </c>
      <c r="Q30" s="334"/>
      <c r="R30" s="642">
        <v>0</v>
      </c>
      <c r="S30" s="348">
        <f t="shared" si="2"/>
        <v>0</v>
      </c>
      <c r="T30" s="349"/>
      <c r="U30" s="403"/>
      <c r="V30" s="350">
        <f t="shared" si="3"/>
        <v>0</v>
      </c>
      <c r="W30" s="350">
        <f t="shared" si="4"/>
        <v>0</v>
      </c>
      <c r="X30" s="350">
        <f t="shared" si="4"/>
        <v>0</v>
      </c>
    </row>
    <row r="31" spans="1:24" x14ac:dyDescent="0.3">
      <c r="A31" s="65">
        <v>100</v>
      </c>
      <c r="B31" s="65">
        <v>0</v>
      </c>
      <c r="C31" s="65">
        <v>5423</v>
      </c>
      <c r="D31" s="65">
        <v>6961</v>
      </c>
      <c r="E31" s="65">
        <v>4</v>
      </c>
      <c r="F31" s="65">
        <v>42300</v>
      </c>
      <c r="G31" s="123" t="s">
        <v>26</v>
      </c>
      <c r="H31" s="314">
        <v>752912.99</v>
      </c>
      <c r="I31" s="427">
        <v>245420.35</v>
      </c>
      <c r="J31" s="134"/>
      <c r="K31" s="135">
        <v>876094</v>
      </c>
      <c r="L31" s="142">
        <v>994807</v>
      </c>
      <c r="M31" s="422">
        <v>0</v>
      </c>
      <c r="N31" s="605"/>
      <c r="O31" s="618">
        <v>0</v>
      </c>
      <c r="P31" s="333"/>
      <c r="Q31" s="334"/>
      <c r="R31" s="642">
        <v>0</v>
      </c>
      <c r="S31" s="348">
        <f t="shared" si="2"/>
        <v>0</v>
      </c>
      <c r="T31" s="349"/>
      <c r="U31" s="403"/>
      <c r="V31" s="350">
        <f t="shared" si="3"/>
        <v>0</v>
      </c>
      <c r="W31" s="350">
        <f t="shared" si="4"/>
        <v>0</v>
      </c>
      <c r="X31" s="350">
        <f t="shared" si="4"/>
        <v>0</v>
      </c>
    </row>
    <row r="32" spans="1:24" x14ac:dyDescent="0.3">
      <c r="A32" s="65" t="s">
        <v>137</v>
      </c>
      <c r="B32" s="65" t="s">
        <v>122</v>
      </c>
      <c r="C32" s="65" t="s">
        <v>207</v>
      </c>
      <c r="D32" s="65" t="s">
        <v>120</v>
      </c>
      <c r="E32" s="65" t="s">
        <v>144</v>
      </c>
      <c r="F32" s="65"/>
      <c r="G32" s="123" t="s">
        <v>208</v>
      </c>
      <c r="H32" s="314"/>
      <c r="I32" s="427"/>
      <c r="J32" s="134"/>
      <c r="K32" s="135"/>
      <c r="L32" s="142"/>
      <c r="M32" s="422"/>
      <c r="N32" s="605"/>
      <c r="O32" s="618">
        <v>10000</v>
      </c>
      <c r="P32" s="333"/>
      <c r="Q32" s="334"/>
      <c r="R32" s="642"/>
      <c r="S32" s="348">
        <f t="shared" si="2"/>
        <v>0</v>
      </c>
      <c r="T32" s="349"/>
      <c r="U32" s="403"/>
      <c r="V32" s="350">
        <f t="shared" si="3"/>
        <v>0</v>
      </c>
      <c r="W32" s="350">
        <f t="shared" si="4"/>
        <v>0</v>
      </c>
      <c r="X32" s="350">
        <f t="shared" si="4"/>
        <v>0</v>
      </c>
    </row>
    <row r="33" spans="1:25" x14ac:dyDescent="0.3">
      <c r="A33" s="66">
        <v>100</v>
      </c>
      <c r="B33" s="70">
        <v>0</v>
      </c>
      <c r="C33" s="70">
        <v>5424</v>
      </c>
      <c r="D33" s="70">
        <v>6961</v>
      </c>
      <c r="E33" s="70">
        <v>4</v>
      </c>
      <c r="F33" s="70">
        <v>42400</v>
      </c>
      <c r="G33" s="123" t="s">
        <v>25</v>
      </c>
      <c r="H33" s="314">
        <v>0</v>
      </c>
      <c r="I33" s="427">
        <v>0</v>
      </c>
      <c r="J33" s="134"/>
      <c r="K33" s="135">
        <v>0</v>
      </c>
      <c r="L33" s="142">
        <v>0</v>
      </c>
      <c r="M33" s="422">
        <v>0</v>
      </c>
      <c r="N33" s="605"/>
      <c r="O33" s="618">
        <v>0</v>
      </c>
      <c r="P33" s="333"/>
      <c r="Q33" s="334"/>
      <c r="R33" s="642">
        <v>0</v>
      </c>
      <c r="S33" s="348">
        <f t="shared" si="2"/>
        <v>0</v>
      </c>
      <c r="T33" s="349"/>
      <c r="U33" s="403"/>
      <c r="V33" s="350">
        <f t="shared" si="3"/>
        <v>0</v>
      </c>
      <c r="W33" s="350">
        <f t="shared" si="4"/>
        <v>0</v>
      </c>
      <c r="X33" s="350">
        <f t="shared" si="4"/>
        <v>0</v>
      </c>
    </row>
    <row r="34" spans="1:25" x14ac:dyDescent="0.3">
      <c r="A34" s="66">
        <v>100</v>
      </c>
      <c r="B34" s="70">
        <v>0</v>
      </c>
      <c r="C34" s="70">
        <v>5424</v>
      </c>
      <c r="D34" s="70">
        <v>6961</v>
      </c>
      <c r="E34" s="70">
        <v>4</v>
      </c>
      <c r="F34" s="70">
        <v>42403</v>
      </c>
      <c r="G34" s="123" t="s">
        <v>199</v>
      </c>
      <c r="H34" s="314"/>
      <c r="I34" s="524"/>
      <c r="J34" s="134"/>
      <c r="K34" s="135"/>
      <c r="L34" s="142"/>
      <c r="M34" s="422"/>
      <c r="N34" s="605"/>
      <c r="O34" s="618"/>
      <c r="P34" s="333"/>
      <c r="Q34" s="334"/>
      <c r="R34" s="642"/>
      <c r="S34" s="348">
        <f t="shared" si="2"/>
        <v>0</v>
      </c>
      <c r="T34" s="349"/>
      <c r="U34" s="403"/>
      <c r="V34" s="350">
        <f t="shared" si="3"/>
        <v>0</v>
      </c>
      <c r="W34" s="350">
        <f t="shared" si="4"/>
        <v>0</v>
      </c>
      <c r="X34" s="350">
        <f t="shared" si="4"/>
        <v>0</v>
      </c>
    </row>
    <row r="35" spans="1:25" x14ac:dyDescent="0.3">
      <c r="A35" s="66">
        <v>100</v>
      </c>
      <c r="B35" s="70">
        <v>0</v>
      </c>
      <c r="C35" s="70">
        <v>5425</v>
      </c>
      <c r="D35" s="70">
        <v>6961</v>
      </c>
      <c r="E35" s="70">
        <v>4</v>
      </c>
      <c r="F35" s="70">
        <v>42500</v>
      </c>
      <c r="G35" s="123" t="s">
        <v>27</v>
      </c>
      <c r="H35" s="314">
        <v>0</v>
      </c>
      <c r="I35" s="427">
        <v>0</v>
      </c>
      <c r="J35" s="134"/>
      <c r="K35" s="135">
        <v>0</v>
      </c>
      <c r="L35" s="142">
        <v>0</v>
      </c>
      <c r="M35" s="422">
        <v>0</v>
      </c>
      <c r="N35" s="605"/>
      <c r="O35" s="618">
        <v>0</v>
      </c>
      <c r="P35" s="333"/>
      <c r="Q35" s="334"/>
      <c r="R35" s="642">
        <v>0</v>
      </c>
      <c r="S35" s="348">
        <f t="shared" si="2"/>
        <v>0</v>
      </c>
      <c r="T35" s="349"/>
      <c r="U35" s="403"/>
      <c r="V35" s="350">
        <f t="shared" si="3"/>
        <v>0</v>
      </c>
      <c r="W35" s="350">
        <f t="shared" si="4"/>
        <v>0</v>
      </c>
      <c r="X35" s="350">
        <f t="shared" si="4"/>
        <v>0</v>
      </c>
    </row>
    <row r="36" spans="1:25" x14ac:dyDescent="0.3">
      <c r="A36" s="66">
        <v>100</v>
      </c>
      <c r="B36" s="70">
        <v>0</v>
      </c>
      <c r="C36" s="70">
        <v>5428</v>
      </c>
      <c r="D36" s="70">
        <v>6961</v>
      </c>
      <c r="E36" s="70">
        <v>4</v>
      </c>
      <c r="F36" s="70"/>
      <c r="G36" s="123" t="s">
        <v>28</v>
      </c>
      <c r="H36" s="314">
        <v>0</v>
      </c>
      <c r="I36" s="427">
        <v>0</v>
      </c>
      <c r="J36" s="134"/>
      <c r="K36" s="135">
        <v>0</v>
      </c>
      <c r="L36" s="142">
        <v>0</v>
      </c>
      <c r="M36" s="422">
        <v>0</v>
      </c>
      <c r="N36" s="605"/>
      <c r="O36" s="618">
        <v>0</v>
      </c>
      <c r="P36" s="333"/>
      <c r="Q36" s="334"/>
      <c r="R36" s="642">
        <v>0</v>
      </c>
      <c r="S36" s="348">
        <f t="shared" si="2"/>
        <v>0</v>
      </c>
      <c r="T36" s="349"/>
      <c r="U36" s="403"/>
      <c r="V36" s="350">
        <f t="shared" si="3"/>
        <v>0</v>
      </c>
      <c r="W36" s="350">
        <f t="shared" si="4"/>
        <v>0</v>
      </c>
      <c r="X36" s="350">
        <f t="shared" si="4"/>
        <v>0</v>
      </c>
    </row>
    <row r="37" spans="1:25" x14ac:dyDescent="0.3">
      <c r="A37" s="66">
        <v>100</v>
      </c>
      <c r="B37" s="70">
        <v>0</v>
      </c>
      <c r="C37" s="70">
        <v>5439</v>
      </c>
      <c r="D37" s="70">
        <v>6961</v>
      </c>
      <c r="E37" s="70">
        <v>4</v>
      </c>
      <c r="F37" s="70">
        <v>43900</v>
      </c>
      <c r="G37" s="123" t="s">
        <v>191</v>
      </c>
      <c r="H37" s="314"/>
      <c r="I37" s="427">
        <v>22669</v>
      </c>
      <c r="J37" s="134"/>
      <c r="K37" s="135"/>
      <c r="L37" s="142"/>
      <c r="M37" s="422"/>
      <c r="N37" s="605"/>
      <c r="O37" s="618"/>
      <c r="P37" s="333"/>
      <c r="Q37" s="334"/>
      <c r="R37" s="642"/>
      <c r="S37" s="348">
        <f t="shared" si="2"/>
        <v>0</v>
      </c>
      <c r="T37" s="349"/>
      <c r="U37" s="403"/>
      <c r="V37" s="350">
        <f t="shared" si="3"/>
        <v>0</v>
      </c>
      <c r="W37" s="350">
        <f t="shared" si="4"/>
        <v>0</v>
      </c>
      <c r="X37" s="350">
        <f t="shared" si="4"/>
        <v>0</v>
      </c>
    </row>
    <row r="38" spans="1:25" x14ac:dyDescent="0.3">
      <c r="A38" s="65">
        <v>100</v>
      </c>
      <c r="B38" s="65">
        <v>0</v>
      </c>
      <c r="C38" s="65">
        <v>5441</v>
      </c>
      <c r="D38" s="65">
        <v>6961</v>
      </c>
      <c r="E38" s="65">
        <v>4</v>
      </c>
      <c r="F38" s="65">
        <v>44100</v>
      </c>
      <c r="G38" s="123" t="s">
        <v>15</v>
      </c>
      <c r="H38" s="314">
        <v>86983.679999999993</v>
      </c>
      <c r="I38" s="427">
        <v>77623.8</v>
      </c>
      <c r="J38" s="134"/>
      <c r="K38" s="135">
        <v>88234</v>
      </c>
      <c r="L38" s="142">
        <v>88234</v>
      </c>
      <c r="M38" s="422">
        <v>93979</v>
      </c>
      <c r="N38" s="605">
        <v>142924.57999999999</v>
      </c>
      <c r="O38" s="646">
        <v>145000</v>
      </c>
      <c r="P38" s="333"/>
      <c r="Q38" s="334"/>
      <c r="R38" s="642">
        <v>94000</v>
      </c>
      <c r="S38" s="348">
        <f t="shared" si="2"/>
        <v>95880</v>
      </c>
      <c r="T38" s="349"/>
      <c r="U38" s="403"/>
      <c r="V38" s="350">
        <f t="shared" si="3"/>
        <v>97797.6</v>
      </c>
      <c r="W38" s="350">
        <f t="shared" si="4"/>
        <v>99753.552000000011</v>
      </c>
      <c r="X38" s="350">
        <f t="shared" si="4"/>
        <v>101748.62304000001</v>
      </c>
    </row>
    <row r="39" spans="1:25" x14ac:dyDescent="0.3">
      <c r="A39" s="65" t="s">
        <v>137</v>
      </c>
      <c r="B39" s="65" t="s">
        <v>122</v>
      </c>
      <c r="C39" s="65" t="s">
        <v>169</v>
      </c>
      <c r="D39" s="65" t="s">
        <v>120</v>
      </c>
      <c r="E39" s="65" t="s">
        <v>144</v>
      </c>
      <c r="F39" s="65" t="s">
        <v>157</v>
      </c>
      <c r="G39" s="123" t="s">
        <v>170</v>
      </c>
      <c r="H39" s="314"/>
      <c r="I39" s="427">
        <v>3713</v>
      </c>
      <c r="J39" s="134"/>
      <c r="K39" s="135"/>
      <c r="L39" s="142"/>
      <c r="M39" s="422">
        <v>2848</v>
      </c>
      <c r="N39" s="605"/>
      <c r="O39" s="618">
        <v>2848</v>
      </c>
      <c r="P39" s="333"/>
      <c r="Q39" s="334"/>
      <c r="R39" s="642">
        <v>2848</v>
      </c>
      <c r="S39" s="348">
        <f t="shared" si="2"/>
        <v>2904.96</v>
      </c>
      <c r="T39" s="349"/>
      <c r="U39" s="403"/>
      <c r="V39" s="350">
        <f t="shared" si="3"/>
        <v>2963.0592000000001</v>
      </c>
      <c r="W39" s="350">
        <f t="shared" si="4"/>
        <v>3022.3203840000001</v>
      </c>
      <c r="X39" s="350">
        <f t="shared" si="4"/>
        <v>3082.7667916800001</v>
      </c>
    </row>
    <row r="40" spans="1:25" x14ac:dyDescent="0.3">
      <c r="A40" s="65">
        <v>100</v>
      </c>
      <c r="B40" s="65">
        <v>0</v>
      </c>
      <c r="C40" s="65">
        <v>5445</v>
      </c>
      <c r="D40" s="65">
        <v>6961</v>
      </c>
      <c r="E40" s="65">
        <v>4</v>
      </c>
      <c r="F40" s="65" t="s">
        <v>176</v>
      </c>
      <c r="G40" s="123" t="s">
        <v>16</v>
      </c>
      <c r="H40" s="314">
        <f>13276.77+160272.27</f>
        <v>173549.03999999998</v>
      </c>
      <c r="I40" s="427">
        <f>164007.11+21424.22</f>
        <v>185431.33</v>
      </c>
      <c r="J40" s="134"/>
      <c r="K40" s="135">
        <v>153000</v>
      </c>
      <c r="L40" s="142">
        <v>153000</v>
      </c>
      <c r="M40" s="422">
        <v>165000</v>
      </c>
      <c r="N40" s="605">
        <v>114417.74</v>
      </c>
      <c r="O40" s="618">
        <v>125000</v>
      </c>
      <c r="P40" s="333"/>
      <c r="Q40" s="334"/>
      <c r="R40" s="642">
        <v>165000</v>
      </c>
      <c r="S40" s="348">
        <f t="shared" si="2"/>
        <v>168300</v>
      </c>
      <c r="T40" s="349"/>
      <c r="U40" s="403"/>
      <c r="V40" s="350">
        <f t="shared" si="3"/>
        <v>171666</v>
      </c>
      <c r="W40" s="350">
        <f t="shared" si="4"/>
        <v>175099.32</v>
      </c>
      <c r="X40" s="350">
        <f t="shared" si="4"/>
        <v>178601.3064</v>
      </c>
    </row>
    <row r="41" spans="1:25" x14ac:dyDescent="0.3">
      <c r="A41" s="65">
        <v>100</v>
      </c>
      <c r="B41" s="65">
        <v>0</v>
      </c>
      <c r="C41" s="65">
        <v>5446</v>
      </c>
      <c r="D41" s="65">
        <v>6961</v>
      </c>
      <c r="E41" s="65">
        <v>4</v>
      </c>
      <c r="F41" s="65" t="s">
        <v>176</v>
      </c>
      <c r="G41" s="123" t="s">
        <v>17</v>
      </c>
      <c r="H41" s="314">
        <v>61688.14</v>
      </c>
      <c r="I41" s="427">
        <v>66177.69</v>
      </c>
      <c r="J41" s="134"/>
      <c r="K41" s="135">
        <v>57000</v>
      </c>
      <c r="L41" s="142">
        <v>57000</v>
      </c>
      <c r="M41" s="422">
        <v>75000</v>
      </c>
      <c r="N41" s="605">
        <v>59288.38</v>
      </c>
      <c r="O41" s="618">
        <v>70000</v>
      </c>
      <c r="P41" s="333"/>
      <c r="Q41" s="334"/>
      <c r="R41" s="642">
        <v>75000</v>
      </c>
      <c r="S41" s="348">
        <f t="shared" si="2"/>
        <v>76500</v>
      </c>
      <c r="T41" s="349"/>
      <c r="U41" s="403"/>
      <c r="V41" s="350">
        <f t="shared" si="3"/>
        <v>78030</v>
      </c>
      <c r="W41" s="350">
        <f t="shared" si="4"/>
        <v>79590.600000000006</v>
      </c>
      <c r="X41" s="350">
        <f t="shared" si="4"/>
        <v>81182.412000000011</v>
      </c>
    </row>
    <row r="42" spans="1:25" x14ac:dyDescent="0.3">
      <c r="A42" s="65" t="s">
        <v>137</v>
      </c>
      <c r="B42" s="65">
        <v>0</v>
      </c>
      <c r="C42" s="65">
        <v>5451</v>
      </c>
      <c r="D42" s="65">
        <v>6961</v>
      </c>
      <c r="E42" s="65">
        <v>4</v>
      </c>
      <c r="F42" s="65">
        <v>45100</v>
      </c>
      <c r="G42" s="123" t="s">
        <v>18</v>
      </c>
      <c r="H42" s="314">
        <f>327046.27+31202.33</f>
        <v>358248.60000000003</v>
      </c>
      <c r="I42" s="427">
        <v>281753.53000000003</v>
      </c>
      <c r="J42" s="134"/>
      <c r="K42" s="135">
        <v>293274</v>
      </c>
      <c r="L42" s="142">
        <v>293274</v>
      </c>
      <c r="M42" s="422">
        <v>252989</v>
      </c>
      <c r="N42" s="605">
        <v>235454.92</v>
      </c>
      <c r="O42" s="618">
        <v>252989</v>
      </c>
      <c r="P42" s="333"/>
      <c r="Q42" s="334"/>
      <c r="R42" s="642">
        <v>253000</v>
      </c>
      <c r="S42" s="348">
        <f t="shared" si="2"/>
        <v>258060</v>
      </c>
      <c r="T42" s="349"/>
      <c r="U42" s="403"/>
      <c r="V42" s="350">
        <f t="shared" si="3"/>
        <v>263221.2</v>
      </c>
      <c r="W42" s="350">
        <f t="shared" si="4"/>
        <v>268485.62400000001</v>
      </c>
      <c r="X42" s="350">
        <f t="shared" si="4"/>
        <v>273855.33648</v>
      </c>
    </row>
    <row r="43" spans="1:25" x14ac:dyDescent="0.3">
      <c r="A43" s="65" t="s">
        <v>137</v>
      </c>
      <c r="B43" s="65">
        <v>0</v>
      </c>
      <c r="C43" s="65">
        <v>5461</v>
      </c>
      <c r="D43" s="65" t="s">
        <v>120</v>
      </c>
      <c r="E43" s="65">
        <v>4</v>
      </c>
      <c r="F43" s="65">
        <v>46100</v>
      </c>
      <c r="G43" s="123" t="s">
        <v>19</v>
      </c>
      <c r="H43" s="314">
        <f>22814.48+2613.39</f>
        <v>25427.87</v>
      </c>
      <c r="I43" s="427">
        <v>24669.759999999998</v>
      </c>
      <c r="J43" s="134"/>
      <c r="K43" s="135">
        <v>21060</v>
      </c>
      <c r="L43" s="142">
        <v>21060</v>
      </c>
      <c r="M43" s="422">
        <v>21338</v>
      </c>
      <c r="N43" s="605"/>
      <c r="O43" s="618">
        <v>21338</v>
      </c>
      <c r="P43" s="333"/>
      <c r="Q43" s="334"/>
      <c r="R43" s="642">
        <v>21000</v>
      </c>
      <c r="S43" s="348">
        <f t="shared" si="2"/>
        <v>21420</v>
      </c>
      <c r="T43" s="349"/>
      <c r="U43" s="403"/>
      <c r="V43" s="350">
        <f t="shared" si="3"/>
        <v>21848.400000000001</v>
      </c>
      <c r="W43" s="350">
        <f t="shared" si="4"/>
        <v>22285.368000000002</v>
      </c>
      <c r="X43" s="350">
        <f t="shared" si="4"/>
        <v>22731.075360000003</v>
      </c>
      <c r="Y43" s="3"/>
    </row>
    <row r="44" spans="1:25" x14ac:dyDescent="0.3">
      <c r="A44" s="65" t="s">
        <v>137</v>
      </c>
      <c r="B44" s="65">
        <v>0</v>
      </c>
      <c r="C44" s="65">
        <v>5462</v>
      </c>
      <c r="D44" s="65">
        <v>0</v>
      </c>
      <c r="E44" s="65">
        <v>4</v>
      </c>
      <c r="F44" s="65">
        <v>46200</v>
      </c>
      <c r="G44" s="123" t="s">
        <v>20</v>
      </c>
      <c r="H44" s="314">
        <f>861.9+1293.43</f>
        <v>2155.33</v>
      </c>
      <c r="I44" s="427">
        <v>0</v>
      </c>
      <c r="J44" s="134"/>
      <c r="K44" s="135">
        <v>11236</v>
      </c>
      <c r="L44" s="142">
        <v>11236</v>
      </c>
      <c r="M44" s="422">
        <v>5671</v>
      </c>
      <c r="N44" s="605"/>
      <c r="O44" s="618">
        <v>5671</v>
      </c>
      <c r="P44" s="333"/>
      <c r="Q44" s="334"/>
      <c r="R44" s="642">
        <v>5670</v>
      </c>
      <c r="S44" s="348">
        <f t="shared" si="2"/>
        <v>5783.4000000000005</v>
      </c>
      <c r="T44" s="349"/>
      <c r="U44" s="403"/>
      <c r="V44" s="350">
        <f t="shared" si="3"/>
        <v>5899.0680000000002</v>
      </c>
      <c r="W44" s="350">
        <f t="shared" si="4"/>
        <v>6017.04936</v>
      </c>
      <c r="X44" s="350">
        <f t="shared" si="4"/>
        <v>6137.3903472000002</v>
      </c>
    </row>
    <row r="45" spans="1:25" x14ac:dyDescent="0.3">
      <c r="A45" s="65" t="s">
        <v>137</v>
      </c>
      <c r="B45" s="65">
        <v>0</v>
      </c>
      <c r="C45" s="65">
        <v>5465</v>
      </c>
      <c r="D45" s="65">
        <v>6961</v>
      </c>
      <c r="E45" s="65">
        <v>4</v>
      </c>
      <c r="F45" s="65">
        <v>46500</v>
      </c>
      <c r="G45" s="123" t="s">
        <v>21</v>
      </c>
      <c r="H45" s="314">
        <f>29189.95+2087.36</f>
        <v>31277.31</v>
      </c>
      <c r="I45" s="430">
        <v>19973.66</v>
      </c>
      <c r="J45" s="134"/>
      <c r="K45" s="135">
        <v>27967</v>
      </c>
      <c r="L45" s="144">
        <v>27967</v>
      </c>
      <c r="M45" s="422">
        <v>19542</v>
      </c>
      <c r="N45" s="605"/>
      <c r="O45" s="618">
        <v>19542</v>
      </c>
      <c r="P45" s="332"/>
      <c r="Q45" s="340"/>
      <c r="R45" s="642">
        <v>19500</v>
      </c>
      <c r="S45" s="348">
        <f t="shared" si="2"/>
        <v>19890</v>
      </c>
      <c r="T45" s="349"/>
      <c r="U45" s="403"/>
      <c r="V45" s="350">
        <f t="shared" si="3"/>
        <v>20287.8</v>
      </c>
      <c r="W45" s="350">
        <f t="shared" si="4"/>
        <v>20693.556</v>
      </c>
      <c r="X45" s="350">
        <f t="shared" si="4"/>
        <v>21107.42712</v>
      </c>
    </row>
    <row r="46" spans="1:25" x14ac:dyDescent="0.3">
      <c r="A46" s="65" t="s">
        <v>137</v>
      </c>
      <c r="B46" s="65" t="s">
        <v>122</v>
      </c>
      <c r="C46" s="65" t="s">
        <v>203</v>
      </c>
      <c r="D46" s="65" t="s">
        <v>120</v>
      </c>
      <c r="E46" s="65" t="s">
        <v>144</v>
      </c>
      <c r="F46" s="65" t="s">
        <v>204</v>
      </c>
      <c r="G46" s="123" t="s">
        <v>205</v>
      </c>
      <c r="H46" s="314"/>
      <c r="I46" s="430"/>
      <c r="J46" s="134"/>
      <c r="K46" s="135"/>
      <c r="L46" s="144"/>
      <c r="M46" s="422"/>
      <c r="N46" s="605"/>
      <c r="O46" s="618">
        <v>2162</v>
      </c>
      <c r="P46" s="332"/>
      <c r="Q46" s="340"/>
      <c r="R46" s="642"/>
      <c r="S46" s="348">
        <f t="shared" si="2"/>
        <v>0</v>
      </c>
      <c r="T46" s="349"/>
      <c r="U46" s="403"/>
      <c r="V46" s="350">
        <f t="shared" si="3"/>
        <v>0</v>
      </c>
      <c r="W46" s="350">
        <f t="shared" si="4"/>
        <v>0</v>
      </c>
      <c r="X46" s="350">
        <f t="shared" si="4"/>
        <v>0</v>
      </c>
    </row>
    <row r="47" spans="1:25" x14ac:dyDescent="0.3">
      <c r="A47" s="65">
        <v>100</v>
      </c>
      <c r="B47" s="65">
        <v>0</v>
      </c>
      <c r="C47" s="65" t="s">
        <v>194</v>
      </c>
      <c r="D47" s="65">
        <v>6961</v>
      </c>
      <c r="E47" s="65">
        <v>4</v>
      </c>
      <c r="F47" s="65" t="s">
        <v>195</v>
      </c>
      <c r="G47" s="123" t="s">
        <v>29</v>
      </c>
      <c r="H47" s="314">
        <v>28516</v>
      </c>
      <c r="I47" s="430">
        <v>0</v>
      </c>
      <c r="J47" s="134"/>
      <c r="K47" s="135">
        <v>0</v>
      </c>
      <c r="L47" s="144">
        <v>0</v>
      </c>
      <c r="M47" s="424">
        <v>0</v>
      </c>
      <c r="N47" s="605"/>
      <c r="O47" s="522">
        <v>0</v>
      </c>
      <c r="P47" s="332"/>
      <c r="Q47" s="340"/>
      <c r="R47" s="644">
        <v>0</v>
      </c>
      <c r="S47" s="348">
        <f t="shared" si="2"/>
        <v>0</v>
      </c>
      <c r="T47" s="349"/>
      <c r="U47" s="403"/>
      <c r="V47" s="350">
        <f t="shared" si="3"/>
        <v>0</v>
      </c>
      <c r="W47" s="350">
        <f t="shared" si="4"/>
        <v>0</v>
      </c>
      <c r="X47" s="350">
        <f t="shared" si="4"/>
        <v>0</v>
      </c>
    </row>
    <row r="48" spans="1:25" x14ac:dyDescent="0.3">
      <c r="A48" s="65" t="s">
        <v>137</v>
      </c>
      <c r="B48" s="65" t="s">
        <v>122</v>
      </c>
      <c r="C48" s="70">
        <v>5474</v>
      </c>
      <c r="D48" s="70">
        <v>6961</v>
      </c>
      <c r="E48" s="70">
        <v>4</v>
      </c>
      <c r="F48" s="70">
        <v>47400</v>
      </c>
      <c r="G48" s="123" t="s">
        <v>30</v>
      </c>
      <c r="H48" s="314"/>
      <c r="I48" s="430">
        <v>0</v>
      </c>
      <c r="J48" s="134"/>
      <c r="K48" s="135">
        <v>0</v>
      </c>
      <c r="L48" s="144">
        <v>0</v>
      </c>
      <c r="M48" s="424"/>
      <c r="N48" s="605"/>
      <c r="O48" s="522"/>
      <c r="P48" s="332"/>
      <c r="Q48" s="340"/>
      <c r="R48" s="644"/>
      <c r="S48" s="348">
        <f t="shared" si="2"/>
        <v>0</v>
      </c>
      <c r="T48" s="349"/>
      <c r="U48" s="403"/>
      <c r="V48" s="350">
        <f t="shared" si="3"/>
        <v>0</v>
      </c>
      <c r="W48" s="350">
        <f t="shared" si="4"/>
        <v>0</v>
      </c>
      <c r="X48" s="350">
        <f t="shared" si="4"/>
        <v>0</v>
      </c>
    </row>
    <row r="49" spans="1:24" x14ac:dyDescent="0.3">
      <c r="A49" s="65"/>
      <c r="B49" s="65"/>
      <c r="C49" s="70"/>
      <c r="D49" s="70"/>
      <c r="E49" s="70"/>
      <c r="F49" s="70"/>
      <c r="G49" s="123" t="s">
        <v>209</v>
      </c>
      <c r="H49" s="314"/>
      <c r="I49" s="430">
        <v>58306</v>
      </c>
      <c r="J49" s="134"/>
      <c r="K49" s="135"/>
      <c r="L49" s="144"/>
      <c r="M49" s="424"/>
      <c r="N49" s="605">
        <v>16387.13</v>
      </c>
      <c r="O49" s="647">
        <v>16387</v>
      </c>
      <c r="P49" s="332"/>
      <c r="Q49" s="340"/>
      <c r="R49" s="644"/>
      <c r="S49" s="348">
        <f t="shared" si="2"/>
        <v>0</v>
      </c>
      <c r="T49" s="349"/>
      <c r="U49" s="403"/>
      <c r="V49" s="350">
        <f t="shared" si="3"/>
        <v>0</v>
      </c>
      <c r="W49" s="350">
        <f t="shared" si="4"/>
        <v>0</v>
      </c>
      <c r="X49" s="350">
        <f t="shared" si="4"/>
        <v>0</v>
      </c>
    </row>
    <row r="50" spans="1:24" ht="15" thickBot="1" x14ac:dyDescent="0.35">
      <c r="B50" s="70"/>
      <c r="C50" s="70"/>
      <c r="D50" s="70"/>
      <c r="E50" s="70"/>
      <c r="F50" s="70"/>
      <c r="G50" s="123"/>
      <c r="H50" s="136"/>
      <c r="I50" s="431"/>
      <c r="J50" s="137"/>
      <c r="K50" s="138"/>
      <c r="L50" s="145"/>
      <c r="M50" s="425">
        <v>0</v>
      </c>
      <c r="N50" s="607"/>
      <c r="O50" s="621">
        <v>0</v>
      </c>
      <c r="P50" s="332"/>
      <c r="Q50" s="340"/>
      <c r="R50" s="645">
        <v>0</v>
      </c>
      <c r="S50" s="416">
        <v>0</v>
      </c>
      <c r="T50" s="349"/>
      <c r="U50" s="403"/>
      <c r="V50" s="417">
        <v>0</v>
      </c>
      <c r="W50" s="417">
        <v>0</v>
      </c>
      <c r="X50" s="417">
        <v>0</v>
      </c>
    </row>
    <row r="51" spans="1:24" ht="16.2" thickTop="1" x14ac:dyDescent="0.3">
      <c r="A51" s="70"/>
      <c r="B51" s="70"/>
      <c r="C51" s="70"/>
      <c r="D51" s="70"/>
      <c r="E51" s="70"/>
      <c r="F51" s="70"/>
      <c r="G51" s="146" t="s">
        <v>44</v>
      </c>
      <c r="H51" s="399">
        <f>SUM(H28:H50)</f>
        <v>1593387.9400000002</v>
      </c>
      <c r="I51" s="400">
        <f>SUM(I28:I50)</f>
        <v>1975212.6600000001</v>
      </c>
      <c r="J51" s="150"/>
      <c r="K51" s="151">
        <f t="shared" ref="K51:O51" si="5">SUM(K28:K50)</f>
        <v>1555865</v>
      </c>
      <c r="L51" s="152">
        <f t="shared" si="5"/>
        <v>1676578</v>
      </c>
      <c r="M51" s="151">
        <f t="shared" si="5"/>
        <v>1944637</v>
      </c>
      <c r="N51" s="612">
        <f t="shared" si="5"/>
        <v>1613002.0899999999</v>
      </c>
      <c r="O51" s="613">
        <f t="shared" si="5"/>
        <v>2100774</v>
      </c>
      <c r="P51" s="341"/>
      <c r="Q51" s="342"/>
      <c r="R51" s="639">
        <f>SUM(R28:R50)</f>
        <v>706018</v>
      </c>
      <c r="S51" s="418">
        <f>SUM(S28:S50)</f>
        <v>720138.36</v>
      </c>
      <c r="T51" s="349"/>
      <c r="U51" s="403"/>
      <c r="V51" s="419">
        <f>SUM(V28:V50)</f>
        <v>734541.1272000001</v>
      </c>
      <c r="W51" s="419">
        <f>SUM(W28:W50)</f>
        <v>749231.94974399987</v>
      </c>
      <c r="X51" s="419">
        <f>SUM(X28:X50)</f>
        <v>764216.58873888012</v>
      </c>
    </row>
    <row r="52" spans="1:24" x14ac:dyDescent="0.3">
      <c r="A52" s="70"/>
      <c r="B52" s="70"/>
      <c r="C52" s="70"/>
      <c r="D52" s="70"/>
      <c r="E52" s="70"/>
      <c r="F52" s="70"/>
      <c r="G52" s="128"/>
      <c r="H52" s="139"/>
      <c r="I52" s="316"/>
      <c r="J52" s="140"/>
      <c r="K52" s="141"/>
      <c r="L52" s="144"/>
      <c r="M52" s="622"/>
      <c r="N52" s="614"/>
      <c r="O52" s="522"/>
      <c r="P52" s="332"/>
      <c r="Q52" s="340"/>
      <c r="R52" s="582"/>
      <c r="S52" s="415"/>
      <c r="T52" s="349"/>
      <c r="U52" s="403"/>
      <c r="V52" s="420"/>
      <c r="W52" s="420"/>
      <c r="X52" s="420"/>
    </row>
    <row r="53" spans="1:24" ht="18.600000000000001" thickBot="1" x14ac:dyDescent="0.4">
      <c r="A53" s="71"/>
      <c r="B53" s="71"/>
      <c r="C53" s="71"/>
      <c r="D53" s="71"/>
      <c r="E53" s="71"/>
      <c r="F53" s="71"/>
      <c r="G53" s="153" t="s">
        <v>45</v>
      </c>
      <c r="H53" s="401">
        <f>H13+H26+H51</f>
        <v>7344894.7500000009</v>
      </c>
      <c r="I53" s="402">
        <f>I13+I26+I51</f>
        <v>8602062.9600000009</v>
      </c>
      <c r="J53" s="154"/>
      <c r="K53" s="155">
        <f>K13+K26+K51</f>
        <v>7213391</v>
      </c>
      <c r="L53" s="156">
        <f>L13+L26+L51</f>
        <v>7264945</v>
      </c>
      <c r="M53" s="155">
        <f>M13+M26+M51</f>
        <v>8813017</v>
      </c>
      <c r="N53" s="615">
        <f>N13+N26+N51</f>
        <v>7157617.9199999999</v>
      </c>
      <c r="O53" s="616">
        <f>O13+O26+O51</f>
        <v>8690998</v>
      </c>
      <c r="P53" s="343"/>
      <c r="Q53" s="344"/>
      <c r="R53" s="640">
        <f>R13+R26+R51</f>
        <v>7511404</v>
      </c>
      <c r="S53" s="401">
        <f>S13+S26+S51</f>
        <v>7852139.3600000003</v>
      </c>
      <c r="T53" s="349"/>
      <c r="U53" s="403"/>
      <c r="V53" s="402">
        <f>V13+V26+V51</f>
        <v>8059457.1272</v>
      </c>
      <c r="W53" s="402">
        <f>W13+W26+W51</f>
        <v>8205931.0497439997</v>
      </c>
      <c r="X53" s="402">
        <f>X13+X26+X51</f>
        <v>8364747.0283388793</v>
      </c>
    </row>
    <row r="54" spans="1:24" x14ac:dyDescent="0.3">
      <c r="M54" s="34"/>
      <c r="N54" s="34"/>
      <c r="O54" s="34"/>
      <c r="P54" s="32"/>
      <c r="Q54" s="32"/>
      <c r="R54" s="32"/>
      <c r="S54" s="32"/>
    </row>
    <row r="55" spans="1:24" x14ac:dyDescent="0.3">
      <c r="I55" s="64"/>
      <c r="N55" s="93"/>
    </row>
    <row r="56" spans="1:24" x14ac:dyDescent="0.3">
      <c r="I56" s="525"/>
    </row>
  </sheetData>
  <pageMargins left="0.7" right="0.7" top="0.75" bottom="0.75" header="0.3" footer="0.3"/>
  <pageSetup scale="62" orientation="landscape" r:id="rId1"/>
  <headerFooter>
    <oddHeader>&amp;L&amp;"-,Bold Italic"&amp;18Revenue&amp;C&amp;"-,Bold Italic"&amp;18SLLIS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R74"/>
  <sheetViews>
    <sheetView zoomScale="115" zoomScaleNormal="115" workbookViewId="0">
      <selection activeCell="K71" sqref="K71"/>
    </sheetView>
  </sheetViews>
  <sheetFormatPr defaultRowHeight="14.4" x14ac:dyDescent="0.3"/>
  <cols>
    <col min="1" max="1" width="7.21875" customWidth="1"/>
    <col min="2" max="2" width="1.5546875" customWidth="1"/>
    <col min="3" max="3" width="32.77734375" bestFit="1" customWidth="1"/>
    <col min="4" max="4" width="10" style="349" bestFit="1" customWidth="1"/>
    <col min="5" max="5" width="10.88671875" style="349" bestFit="1" customWidth="1"/>
    <col min="6" max="6" width="1.21875" style="32" customWidth="1"/>
    <col min="7" max="7" width="14.77734375" style="32" hidden="1" customWidth="1"/>
    <col min="8" max="8" width="15.77734375" style="32" hidden="1" customWidth="1"/>
    <col min="9" max="11" width="13.77734375" style="32" customWidth="1"/>
    <col min="12" max="12" width="1.33203125" customWidth="1"/>
    <col min="13" max="13" width="13.77734375" style="188" customWidth="1"/>
    <col min="14" max="17" width="10.5546875" bestFit="1" customWidth="1"/>
  </cols>
  <sheetData>
    <row r="1" spans="1:18" ht="15.6" x14ac:dyDescent="0.3">
      <c r="A1" s="44" t="s">
        <v>0</v>
      </c>
      <c r="B1" s="45"/>
      <c r="C1" s="46"/>
      <c r="D1" s="189" t="s">
        <v>1</v>
      </c>
      <c r="E1" s="189" t="s">
        <v>107</v>
      </c>
      <c r="F1" s="95"/>
      <c r="G1" s="96" t="s">
        <v>1</v>
      </c>
      <c r="H1" s="97" t="s">
        <v>1</v>
      </c>
      <c r="I1" s="104" t="s">
        <v>141</v>
      </c>
      <c r="J1" s="286" t="s">
        <v>141</v>
      </c>
      <c r="K1" s="241" t="s">
        <v>141</v>
      </c>
      <c r="L1" s="183"/>
      <c r="M1" s="580" t="s">
        <v>142</v>
      </c>
      <c r="N1" s="189" t="s">
        <v>173</v>
      </c>
      <c r="O1" s="189" t="s">
        <v>179</v>
      </c>
      <c r="P1" s="189" t="s">
        <v>180</v>
      </c>
      <c r="Q1" s="189" t="s">
        <v>212</v>
      </c>
    </row>
    <row r="2" spans="1:18" ht="16.2" thickBot="1" x14ac:dyDescent="0.35">
      <c r="A2" s="47" t="s">
        <v>2</v>
      </c>
      <c r="B2" s="60"/>
      <c r="C2" s="58"/>
      <c r="D2" s="438" t="s">
        <v>31</v>
      </c>
      <c r="E2" s="438" t="s">
        <v>171</v>
      </c>
      <c r="F2" s="99"/>
      <c r="G2" s="100" t="s">
        <v>32</v>
      </c>
      <c r="H2" s="101" t="s">
        <v>33</v>
      </c>
      <c r="I2" s="439" t="s">
        <v>108</v>
      </c>
      <c r="J2" s="287" t="s">
        <v>111</v>
      </c>
      <c r="K2" s="242" t="s">
        <v>200</v>
      </c>
      <c r="L2" s="182"/>
      <c r="M2" s="581" t="s">
        <v>108</v>
      </c>
      <c r="N2" s="200" t="s">
        <v>110</v>
      </c>
      <c r="O2" s="200" t="s">
        <v>110</v>
      </c>
      <c r="P2" s="200" t="s">
        <v>110</v>
      </c>
      <c r="Q2" s="200" t="s">
        <v>110</v>
      </c>
    </row>
    <row r="3" spans="1:18" x14ac:dyDescent="0.3">
      <c r="A3" s="390">
        <v>6111</v>
      </c>
      <c r="B3" s="59"/>
      <c r="C3" s="248" t="s">
        <v>57</v>
      </c>
      <c r="D3" s="261">
        <v>1939128</v>
      </c>
      <c r="E3" s="261">
        <v>1702376</v>
      </c>
      <c r="F3" s="262"/>
      <c r="G3" s="84" t="e">
        <f>SUM(#REF!)</f>
        <v>#REF!</v>
      </c>
      <c r="H3" s="201" t="e">
        <f>SUM(#REF!)</f>
        <v>#REF!</v>
      </c>
      <c r="I3" s="440">
        <v>2086551</v>
      </c>
      <c r="J3" s="441">
        <v>1494495.63</v>
      </c>
      <c r="K3" s="442">
        <v>2032223</v>
      </c>
      <c r="L3" s="267"/>
      <c r="M3" s="628">
        <v>2348646</v>
      </c>
      <c r="N3" s="261">
        <f>1.03*M3</f>
        <v>2419105.38</v>
      </c>
      <c r="O3" s="261">
        <f t="shared" ref="O3:Q3" si="0">1.03*N3</f>
        <v>2491678.5414</v>
      </c>
      <c r="P3" s="261">
        <f t="shared" si="0"/>
        <v>2566428.8976420001</v>
      </c>
      <c r="Q3" s="261">
        <f t="shared" si="0"/>
        <v>2643421.7645712602</v>
      </c>
    </row>
    <row r="4" spans="1:18" x14ac:dyDescent="0.3">
      <c r="A4" s="52">
        <v>6112</v>
      </c>
      <c r="B4" s="48"/>
      <c r="C4" s="245" t="s">
        <v>55</v>
      </c>
      <c r="D4" s="190">
        <v>342009</v>
      </c>
      <c r="E4" s="190">
        <v>431002</v>
      </c>
      <c r="F4" s="443"/>
      <c r="G4" s="444" t="e">
        <f>SUM(#REF!)</f>
        <v>#REF!</v>
      </c>
      <c r="H4" s="445" t="e">
        <f>SUM(#REF!)</f>
        <v>#REF!</v>
      </c>
      <c r="I4" s="446">
        <v>514919</v>
      </c>
      <c r="J4" s="447">
        <v>416858.95</v>
      </c>
      <c r="K4" s="448">
        <v>514919</v>
      </c>
      <c r="L4" s="268"/>
      <c r="M4" s="629">
        <v>563767</v>
      </c>
      <c r="N4" s="190">
        <f>1.03*M4</f>
        <v>580680.01</v>
      </c>
      <c r="O4" s="190">
        <f t="shared" ref="O4:Q8" si="1">1.03*N4</f>
        <v>598100.41029999999</v>
      </c>
      <c r="P4" s="190">
        <f t="shared" si="1"/>
        <v>616043.422609</v>
      </c>
      <c r="Q4" s="190">
        <f t="shared" si="1"/>
        <v>634524.72528727003</v>
      </c>
    </row>
    <row r="5" spans="1:18" x14ac:dyDescent="0.3">
      <c r="A5" s="52">
        <v>6121</v>
      </c>
      <c r="B5" s="48"/>
      <c r="C5" s="245" t="s">
        <v>58</v>
      </c>
      <c r="D5" s="190">
        <v>58733.72</v>
      </c>
      <c r="E5" s="190">
        <v>66760</v>
      </c>
      <c r="F5" s="443"/>
      <c r="G5" s="444" t="e">
        <f>SUM(#REF!)</f>
        <v>#REF!</v>
      </c>
      <c r="H5" s="445" t="e">
        <f>SUM(#REF!)</f>
        <v>#REF!</v>
      </c>
      <c r="I5" s="446">
        <v>98000</v>
      </c>
      <c r="J5" s="447">
        <v>110757.5</v>
      </c>
      <c r="K5" s="448">
        <v>130000</v>
      </c>
      <c r="L5" s="268"/>
      <c r="M5" s="629">
        <v>77200</v>
      </c>
      <c r="N5" s="190">
        <f t="shared" ref="N5:N8" si="2">1.03*M5</f>
        <v>79516</v>
      </c>
      <c r="O5" s="190">
        <f t="shared" si="1"/>
        <v>81901.48</v>
      </c>
      <c r="P5" s="190">
        <f t="shared" si="1"/>
        <v>84358.524399999995</v>
      </c>
      <c r="Q5" s="190">
        <f t="shared" si="1"/>
        <v>86889.280132</v>
      </c>
    </row>
    <row r="6" spans="1:18" x14ac:dyDescent="0.3">
      <c r="A6" s="52">
        <v>6131</v>
      </c>
      <c r="B6" s="49"/>
      <c r="C6" s="245" t="s">
        <v>56</v>
      </c>
      <c r="D6" s="194">
        <v>49004.98</v>
      </c>
      <c r="E6" s="194">
        <v>185334</v>
      </c>
      <c r="F6" s="449"/>
      <c r="G6" s="450" t="e">
        <f>SUM(#REF!)</f>
        <v>#REF!</v>
      </c>
      <c r="H6" s="451" t="e">
        <f>SUM(#REF!)</f>
        <v>#REF!</v>
      </c>
      <c r="I6" s="452">
        <v>30750</v>
      </c>
      <c r="J6" s="453">
        <v>21489.06</v>
      </c>
      <c r="K6" s="454">
        <v>30750</v>
      </c>
      <c r="L6" s="247"/>
      <c r="M6" s="629">
        <v>25000</v>
      </c>
      <c r="N6" s="190">
        <f t="shared" si="2"/>
        <v>25750</v>
      </c>
      <c r="O6" s="190">
        <f t="shared" si="1"/>
        <v>26522.5</v>
      </c>
      <c r="P6" s="190">
        <f t="shared" si="1"/>
        <v>27318.174999999999</v>
      </c>
      <c r="Q6" s="190">
        <f t="shared" si="1"/>
        <v>28137.720249999998</v>
      </c>
    </row>
    <row r="7" spans="1:18" x14ac:dyDescent="0.3">
      <c r="A7" s="52">
        <v>6151</v>
      </c>
      <c r="B7" s="49"/>
      <c r="C7" s="245" t="s">
        <v>59</v>
      </c>
      <c r="D7" s="194">
        <v>528497.56999999995</v>
      </c>
      <c r="E7" s="194">
        <v>696320.74</v>
      </c>
      <c r="F7" s="449"/>
      <c r="G7" s="450" t="e">
        <f>SUM(#REF!)</f>
        <v>#REF!</v>
      </c>
      <c r="H7" s="451" t="e">
        <f>SUM(#REF!)</f>
        <v>#REF!</v>
      </c>
      <c r="I7" s="452">
        <v>806222</v>
      </c>
      <c r="J7" s="453">
        <v>708639.06</v>
      </c>
      <c r="K7" s="454">
        <v>846222</v>
      </c>
      <c r="L7" s="247"/>
      <c r="M7" s="629">
        <v>258114</v>
      </c>
      <c r="N7" s="190">
        <f t="shared" si="2"/>
        <v>265857.42</v>
      </c>
      <c r="O7" s="190">
        <f t="shared" si="1"/>
        <v>273833.14259999996</v>
      </c>
      <c r="P7" s="190">
        <f t="shared" si="1"/>
        <v>282048.13687799999</v>
      </c>
      <c r="Q7" s="190">
        <f t="shared" si="1"/>
        <v>290509.58098433999</v>
      </c>
    </row>
    <row r="8" spans="1:18" x14ac:dyDescent="0.3">
      <c r="A8" s="52">
        <v>6152</v>
      </c>
      <c r="B8" s="50"/>
      <c r="C8" s="245" t="s">
        <v>60</v>
      </c>
      <c r="D8" s="190">
        <v>134701.29999999999</v>
      </c>
      <c r="E8" s="190">
        <v>149801</v>
      </c>
      <c r="F8" s="443"/>
      <c r="G8" s="444" t="e">
        <f>SUM(#REF!)</f>
        <v>#REF!</v>
      </c>
      <c r="H8" s="445" t="e">
        <f>SUM(#REF!)</f>
        <v>#REF!</v>
      </c>
      <c r="I8" s="446">
        <v>107460</v>
      </c>
      <c r="J8" s="447">
        <v>62019.19</v>
      </c>
      <c r="K8" s="448">
        <v>80000</v>
      </c>
      <c r="L8" s="268"/>
      <c r="M8" s="629">
        <v>151222</v>
      </c>
      <c r="N8" s="190">
        <f t="shared" si="2"/>
        <v>155758.66</v>
      </c>
      <c r="O8" s="190">
        <f t="shared" si="1"/>
        <v>160431.4198</v>
      </c>
      <c r="P8" s="190">
        <f t="shared" si="1"/>
        <v>165244.362394</v>
      </c>
      <c r="Q8" s="190">
        <f t="shared" si="1"/>
        <v>170201.69326582001</v>
      </c>
    </row>
    <row r="9" spans="1:18" x14ac:dyDescent="0.3">
      <c r="A9" s="52">
        <v>6153</v>
      </c>
      <c r="B9" s="50"/>
      <c r="C9" s="245" t="s">
        <v>61</v>
      </c>
      <c r="D9" s="190">
        <v>30560</v>
      </c>
      <c r="E9" s="190">
        <v>0</v>
      </c>
      <c r="F9" s="443"/>
      <c r="G9" s="444" t="e">
        <f>#REF!</f>
        <v>#REF!</v>
      </c>
      <c r="H9" s="445" t="e">
        <f>#REF!</f>
        <v>#REF!</v>
      </c>
      <c r="I9" s="446">
        <v>0</v>
      </c>
      <c r="J9" s="447"/>
      <c r="K9" s="448">
        <v>0</v>
      </c>
      <c r="L9" s="268"/>
      <c r="M9" s="629">
        <v>0</v>
      </c>
      <c r="N9" s="190">
        <f>1.03*M9</f>
        <v>0</v>
      </c>
      <c r="O9" s="190">
        <f t="shared" ref="O9:Q9" si="3">1.03*N9</f>
        <v>0</v>
      </c>
      <c r="P9" s="190">
        <f t="shared" si="3"/>
        <v>0</v>
      </c>
      <c r="Q9" s="190">
        <f t="shared" si="3"/>
        <v>0</v>
      </c>
    </row>
    <row r="10" spans="1:18" x14ac:dyDescent="0.3">
      <c r="A10" s="55">
        <v>6161</v>
      </c>
      <c r="B10" s="11"/>
      <c r="C10" s="249" t="s">
        <v>62</v>
      </c>
      <c r="D10" s="191">
        <v>0</v>
      </c>
      <c r="E10" s="191">
        <v>0</v>
      </c>
      <c r="F10" s="455"/>
      <c r="G10" s="456" t="e">
        <f>SUM(#REF!)</f>
        <v>#REF!</v>
      </c>
      <c r="H10" s="457" t="e">
        <f>SUM(#REF!)</f>
        <v>#REF!</v>
      </c>
      <c r="I10" s="458">
        <v>0</v>
      </c>
      <c r="J10" s="459"/>
      <c r="K10" s="460">
        <v>0</v>
      </c>
      <c r="L10" s="269"/>
      <c r="M10" s="630">
        <v>0</v>
      </c>
      <c r="N10" s="191">
        <f>1.03*M10</f>
        <v>0</v>
      </c>
      <c r="O10" s="191">
        <f t="shared" ref="O10:Q10" si="4">1.03*N10</f>
        <v>0</v>
      </c>
      <c r="P10" s="191">
        <f t="shared" si="4"/>
        <v>0</v>
      </c>
      <c r="Q10" s="191">
        <f t="shared" si="4"/>
        <v>0</v>
      </c>
    </row>
    <row r="11" spans="1:18" ht="15.6" x14ac:dyDescent="0.3">
      <c r="A11" s="391"/>
      <c r="B11" s="109" t="s">
        <v>34</v>
      </c>
      <c r="C11" s="250"/>
      <c r="D11" s="192">
        <f t="shared" ref="D11:K11" si="5">SUM(D3:D10)</f>
        <v>3082634.57</v>
      </c>
      <c r="E11" s="192">
        <f t="shared" ref="E11" si="6">SUM(E3:E10)</f>
        <v>3231593.74</v>
      </c>
      <c r="F11" s="461"/>
      <c r="G11" s="462" t="e">
        <f t="shared" si="5"/>
        <v>#REF!</v>
      </c>
      <c r="H11" s="202" t="e">
        <f t="shared" si="5"/>
        <v>#REF!</v>
      </c>
      <c r="I11" s="463">
        <f t="shared" si="5"/>
        <v>3643902</v>
      </c>
      <c r="J11" s="464">
        <f t="shared" si="5"/>
        <v>2814259.39</v>
      </c>
      <c r="K11" s="465">
        <f t="shared" si="5"/>
        <v>3634114</v>
      </c>
      <c r="L11" s="270"/>
      <c r="M11" s="623">
        <f t="shared" ref="M11" si="7">SUM(M3:M10)</f>
        <v>3423949</v>
      </c>
      <c r="N11" s="192">
        <f t="shared" ref="N11:P11" si="8">SUM(N3:N10)</f>
        <v>3526667.4699999997</v>
      </c>
      <c r="O11" s="192">
        <f t="shared" si="8"/>
        <v>3632467.4940999998</v>
      </c>
      <c r="P11" s="192">
        <f t="shared" si="8"/>
        <v>3741441.518923</v>
      </c>
      <c r="Q11" s="192">
        <f t="shared" ref="Q11" si="9">SUM(Q3:Q10)</f>
        <v>3853684.7644906901</v>
      </c>
    </row>
    <row r="12" spans="1:18" x14ac:dyDescent="0.3">
      <c r="A12" s="52"/>
      <c r="B12" s="8"/>
      <c r="C12" s="251"/>
      <c r="D12" s="193"/>
      <c r="E12" s="193"/>
      <c r="F12" s="449"/>
      <c r="G12" s="466"/>
      <c r="H12" s="246"/>
      <c r="I12" s="467"/>
      <c r="J12" s="436"/>
      <c r="K12" s="468"/>
      <c r="L12" s="271"/>
      <c r="M12" s="631"/>
      <c r="N12" s="193"/>
      <c r="O12" s="193"/>
      <c r="P12" s="193"/>
      <c r="Q12" s="193"/>
    </row>
    <row r="13" spans="1:18" x14ac:dyDescent="0.3">
      <c r="A13" s="52">
        <v>6211</v>
      </c>
      <c r="B13" s="51"/>
      <c r="C13" s="251" t="s">
        <v>63</v>
      </c>
      <c r="D13" s="194">
        <v>358301</v>
      </c>
      <c r="E13" s="194">
        <v>340351</v>
      </c>
      <c r="F13" s="449"/>
      <c r="G13" s="450" t="e">
        <f>#REF!+#REF!</f>
        <v>#REF!</v>
      </c>
      <c r="H13" s="451" t="e">
        <f>#REF!+#REF!</f>
        <v>#REF!</v>
      </c>
      <c r="I13" s="452">
        <v>366359</v>
      </c>
      <c r="J13" s="453">
        <v>286475.12</v>
      </c>
      <c r="K13" s="454">
        <v>367063</v>
      </c>
      <c r="L13" s="247"/>
      <c r="M13" s="632">
        <v>351395</v>
      </c>
      <c r="N13" s="194">
        <f t="shared" ref="N13:N16" si="10">1.03*M13</f>
        <v>361936.85000000003</v>
      </c>
      <c r="O13" s="194">
        <f t="shared" ref="O13:O16" si="11">1.03*N13</f>
        <v>372794.95550000004</v>
      </c>
      <c r="P13" s="194">
        <f t="shared" ref="P13:Q16" si="12">1.03*O13</f>
        <v>383978.80416500004</v>
      </c>
      <c r="Q13" s="194">
        <f t="shared" si="12"/>
        <v>395498.16828995006</v>
      </c>
      <c r="R13" s="33"/>
    </row>
    <row r="14" spans="1:18" x14ac:dyDescent="0.3">
      <c r="A14" s="52">
        <v>6221</v>
      </c>
      <c r="B14" s="48"/>
      <c r="C14" s="245" t="s">
        <v>64</v>
      </c>
      <c r="D14" s="194">
        <v>101143</v>
      </c>
      <c r="E14" s="194">
        <v>127745</v>
      </c>
      <c r="F14" s="449"/>
      <c r="G14" s="450" t="e">
        <f>#REF!+#REF!</f>
        <v>#REF!</v>
      </c>
      <c r="H14" s="451" t="e">
        <f>#REF!+#REF!</f>
        <v>#REF!</v>
      </c>
      <c r="I14" s="452">
        <v>133003</v>
      </c>
      <c r="J14" s="453">
        <v>110039.13</v>
      </c>
      <c r="K14" s="454">
        <v>129295</v>
      </c>
      <c r="L14" s="247"/>
      <c r="M14" s="632">
        <v>118440</v>
      </c>
      <c r="N14" s="194">
        <f t="shared" si="10"/>
        <v>121993.2</v>
      </c>
      <c r="O14" s="194">
        <f t="shared" si="11"/>
        <v>125652.996</v>
      </c>
      <c r="P14" s="194">
        <f t="shared" si="12"/>
        <v>129422.58588</v>
      </c>
      <c r="Q14" s="194">
        <f t="shared" si="12"/>
        <v>133305.26345639999</v>
      </c>
    </row>
    <row r="15" spans="1:18" x14ac:dyDescent="0.3">
      <c r="A15" s="52">
        <v>6231</v>
      </c>
      <c r="B15" s="49"/>
      <c r="C15" s="245" t="s">
        <v>38</v>
      </c>
      <c r="D15" s="194">
        <v>185403</v>
      </c>
      <c r="E15" s="194">
        <v>175585</v>
      </c>
      <c r="F15" s="449"/>
      <c r="G15" s="450" t="e">
        <f>#REF!+#REF!</f>
        <v>#REF!</v>
      </c>
      <c r="H15" s="451" t="e">
        <f>#REF!+#REF!</f>
        <v>#REF!</v>
      </c>
      <c r="I15" s="452">
        <v>214532</v>
      </c>
      <c r="J15" s="453">
        <v>151882.43</v>
      </c>
      <c r="K15" s="454">
        <v>211259</v>
      </c>
      <c r="L15" s="247"/>
      <c r="M15" s="632">
        <v>180976</v>
      </c>
      <c r="N15" s="194">
        <f t="shared" si="10"/>
        <v>186405.28</v>
      </c>
      <c r="O15" s="194">
        <f t="shared" si="11"/>
        <v>191997.43840000001</v>
      </c>
      <c r="P15" s="194">
        <f t="shared" si="12"/>
        <v>197757.36155200002</v>
      </c>
      <c r="Q15" s="194">
        <f t="shared" si="12"/>
        <v>203690.08239856001</v>
      </c>
    </row>
    <row r="16" spans="1:18" x14ac:dyDescent="0.3">
      <c r="A16" s="52">
        <v>6232</v>
      </c>
      <c r="B16" s="49"/>
      <c r="C16" s="245" t="s">
        <v>65</v>
      </c>
      <c r="D16" s="194">
        <v>43353</v>
      </c>
      <c r="E16" s="194">
        <v>41092</v>
      </c>
      <c r="F16" s="449"/>
      <c r="G16" s="450" t="e">
        <f>#REF!+#REF!</f>
        <v>#REF!</v>
      </c>
      <c r="H16" s="451" t="e">
        <f>#REF!+#REF!</f>
        <v>#REF!</v>
      </c>
      <c r="I16" s="452">
        <v>50143</v>
      </c>
      <c r="J16" s="453">
        <v>35523.46</v>
      </c>
      <c r="K16" s="454">
        <v>49377</v>
      </c>
      <c r="L16" s="247"/>
      <c r="M16" s="632">
        <v>42325</v>
      </c>
      <c r="N16" s="194">
        <f t="shared" si="10"/>
        <v>43594.75</v>
      </c>
      <c r="O16" s="194">
        <f t="shared" si="11"/>
        <v>44902.592499999999</v>
      </c>
      <c r="P16" s="194">
        <f t="shared" si="12"/>
        <v>46249.670274999997</v>
      </c>
      <c r="Q16" s="194">
        <f t="shared" si="12"/>
        <v>47637.160383249997</v>
      </c>
    </row>
    <row r="17" spans="1:17" x14ac:dyDescent="0.3">
      <c r="A17" s="52">
        <v>6241</v>
      </c>
      <c r="B17" s="49"/>
      <c r="C17" s="245" t="s">
        <v>66</v>
      </c>
      <c r="D17" s="194">
        <v>232735</v>
      </c>
      <c r="E17" s="194">
        <v>211962</v>
      </c>
      <c r="F17" s="449"/>
      <c r="G17" s="450" t="e">
        <f>#REF!+#REF!</f>
        <v>#REF!</v>
      </c>
      <c r="H17" s="451" t="e">
        <f>#REF!+#REF!</f>
        <v>#REF!</v>
      </c>
      <c r="I17" s="452">
        <v>237800</v>
      </c>
      <c r="J17" s="453">
        <v>193904.14</v>
      </c>
      <c r="K17" s="454">
        <v>237800</v>
      </c>
      <c r="L17" s="247"/>
      <c r="M17" s="632">
        <v>236747</v>
      </c>
      <c r="N17" s="194">
        <f>1.07*M17</f>
        <v>253319.29</v>
      </c>
      <c r="O17" s="194">
        <f t="shared" ref="O17:Q17" si="13">1.07*N17</f>
        <v>271051.64030000003</v>
      </c>
      <c r="P17" s="194">
        <f t="shared" si="13"/>
        <v>290025.25512100005</v>
      </c>
      <c r="Q17" s="194">
        <f t="shared" si="13"/>
        <v>310327.02297947009</v>
      </c>
    </row>
    <row r="18" spans="1:17" x14ac:dyDescent="0.3">
      <c r="A18" s="52">
        <v>6261</v>
      </c>
      <c r="B18" s="48"/>
      <c r="C18" s="245" t="s">
        <v>67</v>
      </c>
      <c r="D18" s="194">
        <v>41512</v>
      </c>
      <c r="E18" s="194">
        <v>29319</v>
      </c>
      <c r="F18" s="449"/>
      <c r="G18" s="450" t="e">
        <f>#REF!</f>
        <v>#REF!</v>
      </c>
      <c r="H18" s="451" t="e">
        <f>#REF!</f>
        <v>#REF!</v>
      </c>
      <c r="I18" s="452">
        <v>29500</v>
      </c>
      <c r="J18" s="453">
        <v>21611</v>
      </c>
      <c r="K18" s="454">
        <v>29500</v>
      </c>
      <c r="L18" s="247"/>
      <c r="M18" s="632">
        <v>30385</v>
      </c>
      <c r="N18" s="194">
        <f>1.03*M18</f>
        <v>31296.55</v>
      </c>
      <c r="O18" s="194">
        <f t="shared" ref="O18:Q18" si="14">1.03*N18</f>
        <v>32235.446500000002</v>
      </c>
      <c r="P18" s="194">
        <f t="shared" si="14"/>
        <v>33202.509895000003</v>
      </c>
      <c r="Q18" s="194">
        <f t="shared" si="14"/>
        <v>34198.585191850005</v>
      </c>
    </row>
    <row r="19" spans="1:17" x14ac:dyDescent="0.3">
      <c r="A19" s="55">
        <v>6271</v>
      </c>
      <c r="B19" s="49"/>
      <c r="C19" s="245" t="s">
        <v>68</v>
      </c>
      <c r="D19" s="194">
        <v>1053</v>
      </c>
      <c r="E19" s="194">
        <v>0</v>
      </c>
      <c r="F19" s="469"/>
      <c r="G19" s="450" t="e">
        <f>#REF!</f>
        <v>#REF!</v>
      </c>
      <c r="H19" s="470" t="e">
        <f>#REF!</f>
        <v>#REF!</v>
      </c>
      <c r="I19" s="452">
        <v>1000</v>
      </c>
      <c r="J19" s="453">
        <v>675.76</v>
      </c>
      <c r="K19" s="453">
        <v>1000</v>
      </c>
      <c r="L19" s="247"/>
      <c r="M19" s="632">
        <v>1300</v>
      </c>
      <c r="N19" s="194">
        <f>1.03*M19</f>
        <v>1339</v>
      </c>
      <c r="O19" s="194">
        <f t="shared" ref="O19:Q19" si="15">1.03*N19</f>
        <v>1379.17</v>
      </c>
      <c r="P19" s="194">
        <f t="shared" si="15"/>
        <v>1420.5451</v>
      </c>
      <c r="Q19" s="194">
        <f t="shared" si="15"/>
        <v>1463.1614530000002</v>
      </c>
    </row>
    <row r="20" spans="1:17" x14ac:dyDescent="0.3">
      <c r="A20" s="55"/>
      <c r="B20" s="12"/>
      <c r="C20" s="249" t="s">
        <v>168</v>
      </c>
      <c r="D20" s="195">
        <v>9600</v>
      </c>
      <c r="E20" s="195">
        <v>6880</v>
      </c>
      <c r="F20" s="471"/>
      <c r="G20" s="472"/>
      <c r="H20" s="473"/>
      <c r="I20" s="474">
        <v>0</v>
      </c>
      <c r="J20" s="475"/>
      <c r="K20" s="476">
        <v>0</v>
      </c>
      <c r="L20" s="272"/>
      <c r="M20" s="633"/>
      <c r="N20" s="195"/>
      <c r="O20" s="195"/>
      <c r="P20" s="195"/>
      <c r="Q20" s="195"/>
    </row>
    <row r="21" spans="1:17" ht="15.6" x14ac:dyDescent="0.3">
      <c r="A21" s="110"/>
      <c r="B21" s="114" t="s">
        <v>35</v>
      </c>
      <c r="C21" s="114"/>
      <c r="D21" s="184">
        <f>SUM(D13:D20)</f>
        <v>973100</v>
      </c>
      <c r="E21" s="184">
        <f>SUM(E13:E20)</f>
        <v>932934</v>
      </c>
      <c r="F21" s="263"/>
      <c r="G21" s="115" t="e">
        <f>SUM(G13:G19)</f>
        <v>#REF!</v>
      </c>
      <c r="H21" s="203" t="e">
        <f>SUM(H13:H19)</f>
        <v>#REF!</v>
      </c>
      <c r="I21" s="477">
        <f>SUM(I13:I20)</f>
        <v>1032337</v>
      </c>
      <c r="J21" s="478">
        <f>SUM(J13:J20)</f>
        <v>800111.03999999992</v>
      </c>
      <c r="K21" s="479">
        <f>SUM(K13:K20)</f>
        <v>1025294</v>
      </c>
      <c r="L21" s="273"/>
      <c r="M21" s="624">
        <f>SUM(M13:M20)</f>
        <v>961568</v>
      </c>
      <c r="N21" s="184">
        <f>SUM(N13:N20)</f>
        <v>999884.92000000016</v>
      </c>
      <c r="O21" s="184">
        <f t="shared" ref="O21:P21" si="16">SUM(O13:O20)</f>
        <v>1040014.2392000002</v>
      </c>
      <c r="P21" s="184">
        <f t="shared" si="16"/>
        <v>1082056.731988</v>
      </c>
      <c r="Q21" s="184">
        <f t="shared" ref="Q21" si="17">SUM(Q13:Q20)</f>
        <v>1126119.4441524802</v>
      </c>
    </row>
    <row r="22" spans="1:17" x14ac:dyDescent="0.3">
      <c r="A22" s="56"/>
      <c r="B22" s="10"/>
      <c r="C22" s="252"/>
      <c r="D22" s="196"/>
      <c r="E22" s="196"/>
      <c r="F22" s="480"/>
      <c r="G22" s="481"/>
      <c r="H22" s="62"/>
      <c r="I22" s="482"/>
      <c r="J22" s="437"/>
      <c r="K22" s="483"/>
      <c r="L22" s="274"/>
      <c r="M22" s="634"/>
      <c r="N22" s="196"/>
      <c r="O22" s="196"/>
      <c r="P22" s="196"/>
      <c r="Q22" s="196"/>
    </row>
    <row r="23" spans="1:17" x14ac:dyDescent="0.3">
      <c r="A23" s="52">
        <v>6311</v>
      </c>
      <c r="B23" s="10"/>
      <c r="C23" s="245" t="s">
        <v>69</v>
      </c>
      <c r="D23" s="185">
        <f>40653.85+20385</f>
        <v>61038.85</v>
      </c>
      <c r="E23" s="185">
        <v>16674</v>
      </c>
      <c r="F23" s="264"/>
      <c r="G23" s="61" t="e">
        <f>SUM(#REF!)</f>
        <v>#REF!</v>
      </c>
      <c r="H23" s="204" t="e">
        <f>SUM(#REF!)</f>
        <v>#REF!</v>
      </c>
      <c r="I23" s="484">
        <v>17848</v>
      </c>
      <c r="J23" s="485">
        <v>48106.99</v>
      </c>
      <c r="K23" s="648">
        <v>50000</v>
      </c>
      <c r="L23" s="275"/>
      <c r="M23" s="635">
        <v>18383</v>
      </c>
      <c r="N23" s="185">
        <f>M23*1.02</f>
        <v>18750.66</v>
      </c>
      <c r="O23" s="185">
        <f t="shared" ref="O23:Q23" si="18">N23*1.02</f>
        <v>19125.673200000001</v>
      </c>
      <c r="P23" s="185">
        <f t="shared" si="18"/>
        <v>19508.186664000001</v>
      </c>
      <c r="Q23" s="185">
        <f t="shared" si="18"/>
        <v>19898.350397280003</v>
      </c>
    </row>
    <row r="24" spans="1:17" x14ac:dyDescent="0.3">
      <c r="A24" s="52" t="s">
        <v>196</v>
      </c>
      <c r="B24" s="53"/>
      <c r="C24" s="251" t="s">
        <v>70</v>
      </c>
      <c r="D24" s="190">
        <v>27750</v>
      </c>
      <c r="E24" s="190">
        <v>155628.41</v>
      </c>
      <c r="F24" s="443"/>
      <c r="G24" s="444" t="e">
        <f>SUM(#REF!)</f>
        <v>#REF!</v>
      </c>
      <c r="H24" s="445" t="e">
        <f>SUM(#REF!)</f>
        <v>#REF!</v>
      </c>
      <c r="I24" s="446">
        <v>277000</v>
      </c>
      <c r="J24" s="447">
        <f>13970.72+54544.25</f>
        <v>68514.97</v>
      </c>
      <c r="K24" s="649">
        <v>70000</v>
      </c>
      <c r="L24" s="268"/>
      <c r="M24" s="635">
        <v>150000</v>
      </c>
      <c r="N24" s="185">
        <f t="shared" ref="N24:N44" si="19">M24*1.02</f>
        <v>153000</v>
      </c>
      <c r="O24" s="185">
        <f t="shared" ref="O24:Q24" si="20">N24*1.02</f>
        <v>156060</v>
      </c>
      <c r="P24" s="185">
        <f t="shared" si="20"/>
        <v>159181.20000000001</v>
      </c>
      <c r="Q24" s="185">
        <f t="shared" si="20"/>
        <v>162364.82400000002</v>
      </c>
    </row>
    <row r="25" spans="1:17" x14ac:dyDescent="0.3">
      <c r="A25" s="52">
        <v>6314</v>
      </c>
      <c r="B25" s="53"/>
      <c r="C25" s="251" t="s">
        <v>118</v>
      </c>
      <c r="D25" s="190">
        <v>0</v>
      </c>
      <c r="E25" s="190">
        <v>0</v>
      </c>
      <c r="F25" s="443"/>
      <c r="G25" s="444">
        <v>0</v>
      </c>
      <c r="H25" s="445">
        <v>0</v>
      </c>
      <c r="I25" s="446">
        <v>0</v>
      </c>
      <c r="J25" s="447"/>
      <c r="K25" s="448">
        <v>0</v>
      </c>
      <c r="L25" s="268"/>
      <c r="M25" s="635">
        <v>0</v>
      </c>
      <c r="N25" s="185">
        <f t="shared" si="19"/>
        <v>0</v>
      </c>
      <c r="O25" s="185">
        <f t="shared" ref="O25:Q25" si="21">N25*1.02</f>
        <v>0</v>
      </c>
      <c r="P25" s="185">
        <f t="shared" si="21"/>
        <v>0</v>
      </c>
      <c r="Q25" s="185">
        <f t="shared" si="21"/>
        <v>0</v>
      </c>
    </row>
    <row r="26" spans="1:17" x14ac:dyDescent="0.3">
      <c r="A26" s="52">
        <v>6315</v>
      </c>
      <c r="B26" s="53"/>
      <c r="C26" s="251" t="s">
        <v>71</v>
      </c>
      <c r="D26" s="190">
        <v>11500</v>
      </c>
      <c r="E26" s="190">
        <v>16375</v>
      </c>
      <c r="F26" s="443"/>
      <c r="G26" s="444" t="e">
        <f>#REF!</f>
        <v>#REF!</v>
      </c>
      <c r="H26" s="445" t="e">
        <f>#REF!</f>
        <v>#REF!</v>
      </c>
      <c r="I26" s="446">
        <v>17500</v>
      </c>
      <c r="J26" s="447">
        <v>17500</v>
      </c>
      <c r="K26" s="448">
        <v>17500</v>
      </c>
      <c r="L26" s="268"/>
      <c r="M26" s="635">
        <v>18000</v>
      </c>
      <c r="N26" s="185">
        <f t="shared" si="19"/>
        <v>18360</v>
      </c>
      <c r="O26" s="185">
        <f t="shared" ref="O26:Q26" si="22">N26*1.02</f>
        <v>18727.2</v>
      </c>
      <c r="P26" s="185">
        <f t="shared" si="22"/>
        <v>19101.744000000002</v>
      </c>
      <c r="Q26" s="185">
        <f t="shared" si="22"/>
        <v>19483.778880000002</v>
      </c>
    </row>
    <row r="27" spans="1:17" x14ac:dyDescent="0.3">
      <c r="A27" s="52">
        <v>6317</v>
      </c>
      <c r="B27" s="53"/>
      <c r="C27" s="253" t="s">
        <v>72</v>
      </c>
      <c r="D27" s="190">
        <v>141757</v>
      </c>
      <c r="E27" s="190">
        <v>62095</v>
      </c>
      <c r="F27" s="443"/>
      <c r="G27" s="444" t="e">
        <f>#REF!</f>
        <v>#REF!</v>
      </c>
      <c r="H27" s="445" t="e">
        <f>#REF!</f>
        <v>#REF!</v>
      </c>
      <c r="I27" s="446">
        <v>55000</v>
      </c>
      <c r="J27" s="447">
        <f>62778.31-17500</f>
        <v>45278.31</v>
      </c>
      <c r="K27" s="649">
        <v>55000</v>
      </c>
      <c r="L27" s="268"/>
      <c r="M27" s="635">
        <v>56650</v>
      </c>
      <c r="N27" s="185">
        <f t="shared" si="19"/>
        <v>57783</v>
      </c>
      <c r="O27" s="185">
        <f t="shared" ref="O27:Q27" si="23">N27*1.02</f>
        <v>58938.66</v>
      </c>
      <c r="P27" s="185">
        <f t="shared" si="23"/>
        <v>60117.433200000007</v>
      </c>
      <c r="Q27" s="185">
        <f t="shared" si="23"/>
        <v>61319.781864000011</v>
      </c>
    </row>
    <row r="28" spans="1:17" x14ac:dyDescent="0.3">
      <c r="A28" s="52">
        <v>6319</v>
      </c>
      <c r="B28" s="53"/>
      <c r="C28" s="245" t="s">
        <v>73</v>
      </c>
      <c r="D28" s="190">
        <v>1007260.88</v>
      </c>
      <c r="E28" s="190">
        <v>908091.65</v>
      </c>
      <c r="F28" s="443"/>
      <c r="G28" s="444" t="e">
        <f>SUM(#REF!)</f>
        <v>#REF!</v>
      </c>
      <c r="H28" s="445" t="e">
        <f>SUM(#REF!)</f>
        <v>#REF!</v>
      </c>
      <c r="I28" s="446">
        <v>690350</v>
      </c>
      <c r="J28" s="447">
        <f>20503.16+244581.49+145716+0.06+216127.22</f>
        <v>626927.92999999993</v>
      </c>
      <c r="K28" s="448">
        <v>673350</v>
      </c>
      <c r="L28" s="268"/>
      <c r="M28" s="635">
        <v>621315</v>
      </c>
      <c r="N28" s="185">
        <f t="shared" si="19"/>
        <v>633741.30000000005</v>
      </c>
      <c r="O28" s="185">
        <f t="shared" ref="O28:Q28" si="24">N28*1.02</f>
        <v>646416.12600000005</v>
      </c>
      <c r="P28" s="185">
        <f t="shared" si="24"/>
        <v>659344.44852000009</v>
      </c>
      <c r="Q28" s="185">
        <f t="shared" si="24"/>
        <v>672531.33749040007</v>
      </c>
    </row>
    <row r="29" spans="1:17" x14ac:dyDescent="0.3">
      <c r="A29" s="52" t="s">
        <v>197</v>
      </c>
      <c r="B29" s="54"/>
      <c r="C29" s="245" t="s">
        <v>74</v>
      </c>
      <c r="D29" s="190">
        <v>88498</v>
      </c>
      <c r="E29" s="190">
        <v>334152</v>
      </c>
      <c r="F29" s="443"/>
      <c r="G29" s="444" t="e">
        <f>#REF!</f>
        <v>#REF!</v>
      </c>
      <c r="H29" s="445" t="e">
        <f>#REF!</f>
        <v>#REF!</v>
      </c>
      <c r="I29" s="446">
        <v>353000</v>
      </c>
      <c r="J29" s="447">
        <f>208674.7+94906.42</f>
        <v>303581.12</v>
      </c>
      <c r="K29" s="448">
        <v>360000</v>
      </c>
      <c r="L29" s="268"/>
      <c r="M29" s="635">
        <v>333000</v>
      </c>
      <c r="N29" s="185">
        <f t="shared" si="19"/>
        <v>339660</v>
      </c>
      <c r="O29" s="185">
        <f t="shared" ref="O29:Q29" si="25">N29*1.02</f>
        <v>346453.2</v>
      </c>
      <c r="P29" s="185">
        <f t="shared" si="25"/>
        <v>353382.26400000002</v>
      </c>
      <c r="Q29" s="185">
        <f t="shared" si="25"/>
        <v>360449.90928000002</v>
      </c>
    </row>
    <row r="30" spans="1:17" x14ac:dyDescent="0.3">
      <c r="A30" s="52">
        <v>6334</v>
      </c>
      <c r="B30" s="54"/>
      <c r="C30" s="245" t="s">
        <v>75</v>
      </c>
      <c r="D30" s="190">
        <v>48036</v>
      </c>
      <c r="E30" s="190">
        <v>45967</v>
      </c>
      <c r="F30" s="443"/>
      <c r="G30" s="444" t="e">
        <f>#REF!</f>
        <v>#REF!</v>
      </c>
      <c r="H30" s="445" t="e">
        <f>#REF!</f>
        <v>#REF!</v>
      </c>
      <c r="I30" s="446">
        <v>50000</v>
      </c>
      <c r="J30" s="447">
        <v>25663</v>
      </c>
      <c r="K30" s="448">
        <v>33000</v>
      </c>
      <c r="L30" s="268"/>
      <c r="M30" s="635">
        <v>33990</v>
      </c>
      <c r="N30" s="185">
        <f t="shared" si="19"/>
        <v>34669.800000000003</v>
      </c>
      <c r="O30" s="185">
        <f t="shared" ref="O30:Q30" si="26">N30*1.02</f>
        <v>35363.196000000004</v>
      </c>
      <c r="P30" s="185">
        <f t="shared" si="26"/>
        <v>36070.459920000001</v>
      </c>
      <c r="Q30" s="185">
        <f t="shared" si="26"/>
        <v>36791.869118400005</v>
      </c>
    </row>
    <row r="31" spans="1:17" x14ac:dyDescent="0.3">
      <c r="A31" s="52">
        <v>6335</v>
      </c>
      <c r="B31" s="49"/>
      <c r="C31" s="245" t="s">
        <v>80</v>
      </c>
      <c r="D31" s="190">
        <v>4207</v>
      </c>
      <c r="E31" s="190">
        <v>4987</v>
      </c>
      <c r="F31" s="443"/>
      <c r="G31" s="444" t="e">
        <f>#REF!</f>
        <v>#REF!</v>
      </c>
      <c r="H31" s="445" t="e">
        <f>#REF!</f>
        <v>#REF!</v>
      </c>
      <c r="I31" s="446">
        <v>5500</v>
      </c>
      <c r="J31" s="447">
        <v>22461.14</v>
      </c>
      <c r="K31" s="649">
        <v>30000</v>
      </c>
      <c r="L31" s="268"/>
      <c r="M31" s="635">
        <v>5665</v>
      </c>
      <c r="N31" s="185">
        <f>M31*1.02</f>
        <v>5778.3</v>
      </c>
      <c r="O31" s="185">
        <f t="shared" ref="O31:Q31" si="27">N31*1.02</f>
        <v>5893.866</v>
      </c>
      <c r="P31" s="185">
        <f t="shared" si="27"/>
        <v>6011.7433200000005</v>
      </c>
      <c r="Q31" s="185">
        <f t="shared" si="27"/>
        <v>6131.9781864000006</v>
      </c>
    </row>
    <row r="32" spans="1:17" x14ac:dyDescent="0.3">
      <c r="A32" s="52">
        <v>6336</v>
      </c>
      <c r="B32" s="54"/>
      <c r="C32" s="254" t="s">
        <v>76</v>
      </c>
      <c r="D32" s="486">
        <v>15972</v>
      </c>
      <c r="E32" s="486">
        <v>22985</v>
      </c>
      <c r="F32" s="480"/>
      <c r="G32" s="487" t="e">
        <f>#REF!</f>
        <v>#REF!</v>
      </c>
      <c r="H32" s="488" t="e">
        <f>#REF!</f>
        <v>#REF!</v>
      </c>
      <c r="I32" s="489">
        <v>23000</v>
      </c>
      <c r="J32" s="490"/>
      <c r="K32" s="650">
        <v>0</v>
      </c>
      <c r="L32" s="276"/>
      <c r="M32" s="635">
        <v>23690</v>
      </c>
      <c r="N32" s="185">
        <f t="shared" si="19"/>
        <v>24163.8</v>
      </c>
      <c r="O32" s="185">
        <f t="shared" ref="O32:Q32" si="28">N32*1.02</f>
        <v>24647.076000000001</v>
      </c>
      <c r="P32" s="185">
        <f t="shared" si="28"/>
        <v>25140.017520000001</v>
      </c>
      <c r="Q32" s="185">
        <f t="shared" si="28"/>
        <v>25642.817870400002</v>
      </c>
    </row>
    <row r="33" spans="1:17" x14ac:dyDescent="0.3">
      <c r="A33" s="52">
        <v>6337</v>
      </c>
      <c r="B33" s="54"/>
      <c r="C33" s="254" t="s">
        <v>77</v>
      </c>
      <c r="D33" s="486">
        <v>37106</v>
      </c>
      <c r="E33" s="486">
        <v>119184</v>
      </c>
      <c r="F33" s="480"/>
      <c r="G33" s="487" t="e">
        <f>#REF!+#REF!</f>
        <v>#REF!</v>
      </c>
      <c r="H33" s="488" t="e">
        <f>#REF!+#REF!</f>
        <v>#REF!</v>
      </c>
      <c r="I33" s="489">
        <v>60000</v>
      </c>
      <c r="J33" s="490">
        <v>85448.26</v>
      </c>
      <c r="K33" s="491">
        <v>100000</v>
      </c>
      <c r="L33" s="276"/>
      <c r="M33" s="635">
        <v>54000</v>
      </c>
      <c r="N33" s="185">
        <f t="shared" si="19"/>
        <v>55080</v>
      </c>
      <c r="O33" s="185">
        <f t="shared" ref="O33:Q33" si="29">N33*1.02</f>
        <v>56181.599999999999</v>
      </c>
      <c r="P33" s="185">
        <f t="shared" si="29"/>
        <v>57305.231999999996</v>
      </c>
      <c r="Q33" s="185">
        <f t="shared" si="29"/>
        <v>58451.336639999994</v>
      </c>
    </row>
    <row r="34" spans="1:17" x14ac:dyDescent="0.3">
      <c r="A34" s="52">
        <v>6339</v>
      </c>
      <c r="B34" s="54"/>
      <c r="C34" s="254" t="s">
        <v>78</v>
      </c>
      <c r="D34" s="486">
        <v>16735</v>
      </c>
      <c r="E34" s="486">
        <v>6691</v>
      </c>
      <c r="F34" s="480"/>
      <c r="G34" s="487" t="e">
        <f>#REF!</f>
        <v>#REF!</v>
      </c>
      <c r="H34" s="488" t="e">
        <f>#REF!</f>
        <v>#REF!</v>
      </c>
      <c r="I34" s="489">
        <v>7000</v>
      </c>
      <c r="J34" s="490">
        <v>11550.93</v>
      </c>
      <c r="K34" s="491">
        <v>15000</v>
      </c>
      <c r="L34" s="276"/>
      <c r="M34" s="635">
        <v>7210</v>
      </c>
      <c r="N34" s="185">
        <f t="shared" si="19"/>
        <v>7354.2</v>
      </c>
      <c r="O34" s="185">
        <f t="shared" ref="O34:Q34" si="30">N34*1.02</f>
        <v>7501.2839999999997</v>
      </c>
      <c r="P34" s="185">
        <f t="shared" si="30"/>
        <v>7651.3096799999994</v>
      </c>
      <c r="Q34" s="185">
        <f t="shared" si="30"/>
        <v>7804.3358735999991</v>
      </c>
    </row>
    <row r="35" spans="1:17" x14ac:dyDescent="0.3">
      <c r="A35" s="52">
        <v>6341</v>
      </c>
      <c r="B35" s="54"/>
      <c r="C35" s="254" t="s">
        <v>81</v>
      </c>
      <c r="D35" s="486">
        <v>246009</v>
      </c>
      <c r="E35" s="486">
        <v>560996</v>
      </c>
      <c r="F35" s="480"/>
      <c r="G35" s="487" t="e">
        <f>SUM(#REF!)+#REF!</f>
        <v>#REF!</v>
      </c>
      <c r="H35" s="488" t="e">
        <f>SUM(#REF!)+#REF!</f>
        <v>#REF!</v>
      </c>
      <c r="I35" s="489">
        <v>560000</v>
      </c>
      <c r="J35" s="490">
        <v>407698.58</v>
      </c>
      <c r="K35" s="650">
        <v>500000</v>
      </c>
      <c r="L35" s="276"/>
      <c r="M35" s="635">
        <v>500000</v>
      </c>
      <c r="N35" s="185">
        <f t="shared" si="19"/>
        <v>510000</v>
      </c>
      <c r="O35" s="185">
        <f t="shared" ref="O35:Q35" si="31">N35*1.02</f>
        <v>520200</v>
      </c>
      <c r="P35" s="185">
        <f t="shared" si="31"/>
        <v>530604</v>
      </c>
      <c r="Q35" s="185">
        <f t="shared" si="31"/>
        <v>541216.07999999996</v>
      </c>
    </row>
    <row r="36" spans="1:17" x14ac:dyDescent="0.3">
      <c r="A36" s="52">
        <v>6342</v>
      </c>
      <c r="B36" s="54"/>
      <c r="C36" s="254" t="s">
        <v>82</v>
      </c>
      <c r="D36" s="486">
        <v>917</v>
      </c>
      <c r="E36" s="486">
        <v>479</v>
      </c>
      <c r="F36" s="480"/>
      <c r="G36" s="487" t="e">
        <f>#REF!</f>
        <v>#REF!</v>
      </c>
      <c r="H36" s="488" t="e">
        <f>#REF!</f>
        <v>#REF!</v>
      </c>
      <c r="I36" s="489">
        <v>5000</v>
      </c>
      <c r="J36" s="490"/>
      <c r="K36" s="650">
        <v>0</v>
      </c>
      <c r="L36" s="276"/>
      <c r="M36" s="635">
        <v>5150</v>
      </c>
      <c r="N36" s="185">
        <f t="shared" si="19"/>
        <v>5253</v>
      </c>
      <c r="O36" s="185">
        <f t="shared" ref="O36:Q36" si="32">N36*1.02</f>
        <v>5358.06</v>
      </c>
      <c r="P36" s="185">
        <f t="shared" si="32"/>
        <v>5465.2212000000009</v>
      </c>
      <c r="Q36" s="185">
        <f t="shared" si="32"/>
        <v>5574.5256240000008</v>
      </c>
    </row>
    <row r="37" spans="1:17" x14ac:dyDescent="0.3">
      <c r="A37" s="52">
        <v>6343</v>
      </c>
      <c r="B37" s="54"/>
      <c r="C37" s="245" t="s">
        <v>83</v>
      </c>
      <c r="D37" s="190">
        <v>4548.7</v>
      </c>
      <c r="E37" s="190">
        <v>4432</v>
      </c>
      <c r="F37" s="443"/>
      <c r="G37" s="444" t="e">
        <f>SUM(#REF!)</f>
        <v>#REF!</v>
      </c>
      <c r="H37" s="445" t="e">
        <f>SUM(#REF!)</f>
        <v>#REF!</v>
      </c>
      <c r="I37" s="446">
        <v>3750</v>
      </c>
      <c r="J37" s="447"/>
      <c r="K37" s="649">
        <v>0</v>
      </c>
      <c r="L37" s="268"/>
      <c r="M37" s="635">
        <v>4500</v>
      </c>
      <c r="N37" s="185">
        <f t="shared" si="19"/>
        <v>4590</v>
      </c>
      <c r="O37" s="185">
        <f t="shared" ref="O37:Q37" si="33">N37*1.02</f>
        <v>4681.8</v>
      </c>
      <c r="P37" s="185">
        <f t="shared" si="33"/>
        <v>4775.4360000000006</v>
      </c>
      <c r="Q37" s="185">
        <f t="shared" si="33"/>
        <v>4870.9447200000004</v>
      </c>
    </row>
    <row r="38" spans="1:17" x14ac:dyDescent="0.3">
      <c r="A38" s="52">
        <v>6351</v>
      </c>
      <c r="B38" s="54"/>
      <c r="C38" s="245" t="s">
        <v>79</v>
      </c>
      <c r="D38" s="190">
        <v>31734</v>
      </c>
      <c r="E38" s="190">
        <v>10616</v>
      </c>
      <c r="F38" s="443"/>
      <c r="G38" s="444" t="e">
        <f>#REF!</f>
        <v>#REF!</v>
      </c>
      <c r="H38" s="445" t="e">
        <f>#REF!</f>
        <v>#REF!</v>
      </c>
      <c r="I38" s="446">
        <v>11000</v>
      </c>
      <c r="J38" s="447"/>
      <c r="K38" s="649">
        <v>0</v>
      </c>
      <c r="L38" s="268"/>
      <c r="M38" s="635">
        <v>11330</v>
      </c>
      <c r="N38" s="185">
        <f t="shared" si="19"/>
        <v>11556.6</v>
      </c>
      <c r="O38" s="185">
        <f t="shared" ref="O38:Q38" si="34">N38*1.02</f>
        <v>11787.732</v>
      </c>
      <c r="P38" s="185">
        <f t="shared" si="34"/>
        <v>12023.486640000001</v>
      </c>
      <c r="Q38" s="185">
        <f t="shared" si="34"/>
        <v>12263.956372800001</v>
      </c>
    </row>
    <row r="39" spans="1:17" x14ac:dyDescent="0.3">
      <c r="A39" s="52">
        <v>6352</v>
      </c>
      <c r="B39" s="54"/>
      <c r="C39" s="245" t="s">
        <v>84</v>
      </c>
      <c r="D39" s="190">
        <v>27826</v>
      </c>
      <c r="E39" s="190">
        <v>59925</v>
      </c>
      <c r="F39" s="443"/>
      <c r="G39" s="444" t="e">
        <f>#REF!</f>
        <v>#REF!</v>
      </c>
      <c r="H39" s="445" t="e">
        <f>#REF!</f>
        <v>#REF!</v>
      </c>
      <c r="I39" s="446">
        <v>56000</v>
      </c>
      <c r="J39" s="447">
        <v>58838.55</v>
      </c>
      <c r="K39" s="649">
        <v>67000</v>
      </c>
      <c r="L39" s="268"/>
      <c r="M39" s="635">
        <v>57680</v>
      </c>
      <c r="N39" s="185">
        <f t="shared" si="19"/>
        <v>58833.599999999999</v>
      </c>
      <c r="O39" s="185">
        <f t="shared" ref="O39:Q39" si="35">N39*1.02</f>
        <v>60010.271999999997</v>
      </c>
      <c r="P39" s="185">
        <f t="shared" si="35"/>
        <v>61210.477439999995</v>
      </c>
      <c r="Q39" s="185">
        <f t="shared" si="35"/>
        <v>62434.686988799993</v>
      </c>
    </row>
    <row r="40" spans="1:17" x14ac:dyDescent="0.3">
      <c r="A40" s="52">
        <v>6359</v>
      </c>
      <c r="B40" s="54"/>
      <c r="C40" s="245" t="s">
        <v>85</v>
      </c>
      <c r="D40" s="190">
        <v>0</v>
      </c>
      <c r="E40" s="190">
        <v>0</v>
      </c>
      <c r="F40" s="443"/>
      <c r="G40" s="444" t="e">
        <f>#REF!</f>
        <v>#REF!</v>
      </c>
      <c r="H40" s="445" t="e">
        <f>#REF!</f>
        <v>#REF!</v>
      </c>
      <c r="I40" s="446">
        <v>0</v>
      </c>
      <c r="J40" s="447"/>
      <c r="K40" s="448">
        <v>0</v>
      </c>
      <c r="L40" s="268"/>
      <c r="M40" s="635">
        <v>0</v>
      </c>
      <c r="N40" s="185">
        <f t="shared" si="19"/>
        <v>0</v>
      </c>
      <c r="O40" s="185">
        <f t="shared" ref="O40:Q40" si="36">N40*1.02</f>
        <v>0</v>
      </c>
      <c r="P40" s="185">
        <f t="shared" si="36"/>
        <v>0</v>
      </c>
      <c r="Q40" s="185">
        <f t="shared" si="36"/>
        <v>0</v>
      </c>
    </row>
    <row r="41" spans="1:17" x14ac:dyDescent="0.3">
      <c r="A41" s="52">
        <v>6361</v>
      </c>
      <c r="B41" s="54"/>
      <c r="C41" s="245" t="s">
        <v>86</v>
      </c>
      <c r="D41" s="190">
        <v>34355</v>
      </c>
      <c r="E41" s="190">
        <v>43014</v>
      </c>
      <c r="F41" s="443"/>
      <c r="G41" s="444" t="e">
        <f>SUM(#REF!)</f>
        <v>#REF!</v>
      </c>
      <c r="H41" s="445" t="e">
        <f>SUM(#REF!)</f>
        <v>#REF!</v>
      </c>
      <c r="I41" s="446">
        <v>46650</v>
      </c>
      <c r="J41" s="447">
        <v>60037.72</v>
      </c>
      <c r="K41" s="649">
        <v>64150</v>
      </c>
      <c r="L41" s="268"/>
      <c r="M41" s="635">
        <v>67105</v>
      </c>
      <c r="N41" s="185">
        <f t="shared" si="19"/>
        <v>68447.100000000006</v>
      </c>
      <c r="O41" s="185">
        <f t="shared" ref="O41:Q41" si="37">N41*1.02</f>
        <v>69816.042000000001</v>
      </c>
      <c r="P41" s="185">
        <f t="shared" si="37"/>
        <v>71212.362840000002</v>
      </c>
      <c r="Q41" s="185">
        <f t="shared" si="37"/>
        <v>72636.61009680001</v>
      </c>
    </row>
    <row r="42" spans="1:17" x14ac:dyDescent="0.3">
      <c r="A42" s="52">
        <v>6362</v>
      </c>
      <c r="B42" s="54"/>
      <c r="C42" s="254" t="s">
        <v>87</v>
      </c>
      <c r="D42" s="486">
        <v>4088</v>
      </c>
      <c r="E42" s="486">
        <v>20415</v>
      </c>
      <c r="F42" s="480"/>
      <c r="G42" s="487" t="e">
        <f>#REF!</f>
        <v>#REF!</v>
      </c>
      <c r="H42" s="488" t="e">
        <f>#REF!</f>
        <v>#REF!</v>
      </c>
      <c r="I42" s="489">
        <v>17500</v>
      </c>
      <c r="J42" s="490"/>
      <c r="K42" s="650">
        <v>0</v>
      </c>
      <c r="L42" s="276"/>
      <c r="M42" s="635">
        <v>18025</v>
      </c>
      <c r="N42" s="185">
        <f t="shared" si="19"/>
        <v>18385.5</v>
      </c>
      <c r="O42" s="185">
        <f t="shared" ref="O42:Q42" si="38">N42*1.02</f>
        <v>18753.21</v>
      </c>
      <c r="P42" s="185">
        <f t="shared" si="38"/>
        <v>19128.2742</v>
      </c>
      <c r="Q42" s="185">
        <f t="shared" si="38"/>
        <v>19510.839683999999</v>
      </c>
    </row>
    <row r="43" spans="1:17" x14ac:dyDescent="0.3">
      <c r="A43" s="52">
        <v>6371</v>
      </c>
      <c r="B43" s="54"/>
      <c r="C43" s="245" t="s">
        <v>88</v>
      </c>
      <c r="D43" s="190">
        <v>3500</v>
      </c>
      <c r="E43" s="190">
        <v>0</v>
      </c>
      <c r="F43" s="443"/>
      <c r="G43" s="444" t="e">
        <f>#REF!</f>
        <v>#REF!</v>
      </c>
      <c r="H43" s="445" t="e">
        <f>#REF!</f>
        <v>#REF!</v>
      </c>
      <c r="I43" s="446">
        <v>0</v>
      </c>
      <c r="J43" s="447"/>
      <c r="K43" s="448">
        <v>0</v>
      </c>
      <c r="L43" s="268"/>
      <c r="M43" s="635">
        <v>0</v>
      </c>
      <c r="N43" s="185">
        <f t="shared" si="19"/>
        <v>0</v>
      </c>
      <c r="O43" s="185">
        <f t="shared" ref="O43:Q43" si="39">N43*1.02</f>
        <v>0</v>
      </c>
      <c r="P43" s="185">
        <f t="shared" si="39"/>
        <v>0</v>
      </c>
      <c r="Q43" s="185">
        <f t="shared" si="39"/>
        <v>0</v>
      </c>
    </row>
    <row r="44" spans="1:17" x14ac:dyDescent="0.3">
      <c r="A44" s="52">
        <v>6391</v>
      </c>
      <c r="B44" s="54"/>
      <c r="C44" s="254" t="s">
        <v>90</v>
      </c>
      <c r="D44" s="486">
        <v>3083.2</v>
      </c>
      <c r="E44" s="486">
        <v>60154</v>
      </c>
      <c r="F44" s="480"/>
      <c r="G44" s="487" t="e">
        <f>SUM(#REF!)</f>
        <v>#REF!</v>
      </c>
      <c r="H44" s="488" t="e">
        <f>SUM(#REF!)</f>
        <v>#REF!</v>
      </c>
      <c r="I44" s="489">
        <v>60500</v>
      </c>
      <c r="J44" s="490">
        <v>75715.53</v>
      </c>
      <c r="K44" s="650">
        <v>90500</v>
      </c>
      <c r="L44" s="276"/>
      <c r="M44" s="635">
        <v>77500</v>
      </c>
      <c r="N44" s="185">
        <f t="shared" si="19"/>
        <v>79050</v>
      </c>
      <c r="O44" s="185">
        <f t="shared" ref="O44:Q44" si="40">N44*1.02</f>
        <v>80631</v>
      </c>
      <c r="P44" s="185">
        <f t="shared" si="40"/>
        <v>82243.62</v>
      </c>
      <c r="Q44" s="185">
        <f t="shared" si="40"/>
        <v>83888.492400000003</v>
      </c>
    </row>
    <row r="45" spans="1:17" x14ac:dyDescent="0.3">
      <c r="A45" s="55">
        <v>6398</v>
      </c>
      <c r="B45" s="13"/>
      <c r="C45" s="249" t="s">
        <v>89</v>
      </c>
      <c r="D45" s="197">
        <v>23448</v>
      </c>
      <c r="E45" s="197">
        <v>32220</v>
      </c>
      <c r="F45" s="492"/>
      <c r="G45" s="493" t="e">
        <f>#REF!</f>
        <v>#REF!</v>
      </c>
      <c r="H45" s="494" t="e">
        <f>#REF!</f>
        <v>#REF!</v>
      </c>
      <c r="I45" s="495">
        <v>30000</v>
      </c>
      <c r="J45" s="496"/>
      <c r="K45" s="651">
        <v>0</v>
      </c>
      <c r="L45" s="277"/>
      <c r="M45" s="636">
        <v>30900</v>
      </c>
      <c r="N45" s="197">
        <f>M45*1.02</f>
        <v>31518</v>
      </c>
      <c r="O45" s="197">
        <f t="shared" ref="O45:Q45" si="41">N45*1.02</f>
        <v>32148.36</v>
      </c>
      <c r="P45" s="197">
        <f t="shared" si="41"/>
        <v>32791.3272</v>
      </c>
      <c r="Q45" s="197">
        <f t="shared" si="41"/>
        <v>33447.153744000003</v>
      </c>
    </row>
    <row r="46" spans="1:17" ht="15.6" x14ac:dyDescent="0.3">
      <c r="A46" s="110"/>
      <c r="B46" s="114" t="s">
        <v>49</v>
      </c>
      <c r="C46" s="255"/>
      <c r="D46" s="186">
        <f>SUM(D23:D45)</f>
        <v>1839369.63</v>
      </c>
      <c r="E46" s="186">
        <f>SUM(E23:E45)</f>
        <v>2485081.06</v>
      </c>
      <c r="F46" s="265"/>
      <c r="G46" s="497" t="e">
        <f t="shared" ref="G46:K46" si="42">SUM(G23:G45)</f>
        <v>#REF!</v>
      </c>
      <c r="H46" s="205" t="e">
        <f t="shared" si="42"/>
        <v>#REF!</v>
      </c>
      <c r="I46" s="498">
        <f t="shared" si="42"/>
        <v>2346598</v>
      </c>
      <c r="J46" s="499">
        <f t="shared" si="42"/>
        <v>1857323.0299999998</v>
      </c>
      <c r="K46" s="500">
        <f t="shared" si="42"/>
        <v>2125500</v>
      </c>
      <c r="L46" s="278"/>
      <c r="M46" s="625">
        <f>SUM(M23:M45)</f>
        <v>2094093</v>
      </c>
      <c r="N46" s="186">
        <f>SUM(N23:N45)</f>
        <v>2135974.8600000003</v>
      </c>
      <c r="O46" s="186">
        <f>SUM(O23:O45)</f>
        <v>2178694.3572</v>
      </c>
      <c r="P46" s="186">
        <f>SUM(P23:P45)</f>
        <v>2222268.2443440007</v>
      </c>
      <c r="Q46" s="186">
        <f>SUM(Q23:Q45)</f>
        <v>2266713.6092308802</v>
      </c>
    </row>
    <row r="47" spans="1:17" x14ac:dyDescent="0.3">
      <c r="A47" s="56"/>
      <c r="B47" s="10"/>
      <c r="C47" s="252"/>
      <c r="D47" s="196"/>
      <c r="E47" s="196"/>
      <c r="F47" s="264"/>
      <c r="G47" s="501"/>
      <c r="H47" s="62"/>
      <c r="I47" s="482"/>
      <c r="J47" s="437"/>
      <c r="K47" s="483"/>
      <c r="L47" s="274"/>
      <c r="M47" s="634"/>
      <c r="N47" s="196"/>
      <c r="O47" s="196"/>
      <c r="P47" s="196"/>
      <c r="Q47" s="196"/>
    </row>
    <row r="48" spans="1:17" x14ac:dyDescent="0.3">
      <c r="A48" s="52">
        <v>6411</v>
      </c>
      <c r="B48" s="49"/>
      <c r="C48" s="245" t="s">
        <v>91</v>
      </c>
      <c r="D48" s="190">
        <v>200082</v>
      </c>
      <c r="E48" s="190">
        <v>251061</v>
      </c>
      <c r="F48" s="443"/>
      <c r="G48" s="444" t="e">
        <f>SUM(#REF!)</f>
        <v>#REF!</v>
      </c>
      <c r="H48" s="445" t="e">
        <f>SUM(#REF!)</f>
        <v>#REF!</v>
      </c>
      <c r="I48" s="446">
        <v>237000</v>
      </c>
      <c r="J48" s="447">
        <f>61399.85+11305.84+2087.76+29195.26+9174.24+33152.09+46723.63+33307.25+18334.55</f>
        <v>244680.46999999997</v>
      </c>
      <c r="K48" s="448">
        <v>269500</v>
      </c>
      <c r="L48" s="268"/>
      <c r="M48" s="629">
        <v>250020</v>
      </c>
      <c r="N48" s="190">
        <f>1.02*M48</f>
        <v>255020.4</v>
      </c>
      <c r="O48" s="190">
        <f t="shared" ref="O48:Q48" si="43">1.02*N48</f>
        <v>260120.80799999999</v>
      </c>
      <c r="P48" s="190">
        <f t="shared" si="43"/>
        <v>265323.22415999998</v>
      </c>
      <c r="Q48" s="190">
        <f t="shared" si="43"/>
        <v>270629.68864319997</v>
      </c>
    </row>
    <row r="49" spans="1:17" x14ac:dyDescent="0.3">
      <c r="A49" s="52">
        <v>6412</v>
      </c>
      <c r="B49" s="49"/>
      <c r="C49" s="245" t="s">
        <v>92</v>
      </c>
      <c r="D49" s="190">
        <v>128138</v>
      </c>
      <c r="E49" s="190">
        <v>152821</v>
      </c>
      <c r="F49" s="443"/>
      <c r="G49" s="444" t="e">
        <f>SUM(#REF!)</f>
        <v>#REF!</v>
      </c>
      <c r="H49" s="445" t="e">
        <f>SUM(#REF!)</f>
        <v>#REF!</v>
      </c>
      <c r="I49" s="446">
        <v>148800</v>
      </c>
      <c r="J49" s="447">
        <f>165144.18+37956.55</f>
        <v>203100.72999999998</v>
      </c>
      <c r="K49" s="448">
        <v>206800</v>
      </c>
      <c r="L49" s="268"/>
      <c r="M49" s="629">
        <v>100000</v>
      </c>
      <c r="N49" s="190">
        <f t="shared" ref="N49:N53" si="44">1.02*M49</f>
        <v>102000</v>
      </c>
      <c r="O49" s="190">
        <f>1.02*N49+50000</f>
        <v>154040</v>
      </c>
      <c r="P49" s="190">
        <f t="shared" ref="P49:Q49" si="45">1.02*O49</f>
        <v>157120.79999999999</v>
      </c>
      <c r="Q49" s="190">
        <f t="shared" si="45"/>
        <v>160263.21599999999</v>
      </c>
    </row>
    <row r="50" spans="1:17" x14ac:dyDescent="0.3">
      <c r="A50" s="52">
        <v>6431</v>
      </c>
      <c r="B50" s="49"/>
      <c r="C50" s="245" t="s">
        <v>93</v>
      </c>
      <c r="D50" s="190">
        <v>92182</v>
      </c>
      <c r="E50" s="190">
        <v>148197</v>
      </c>
      <c r="F50" s="443"/>
      <c r="G50" s="444" t="e">
        <f>#REF!+#REF!</f>
        <v>#REF!</v>
      </c>
      <c r="H50" s="445" t="e">
        <f>#REF!+#REF!</f>
        <v>#REF!</v>
      </c>
      <c r="I50" s="446">
        <v>93000</v>
      </c>
      <c r="J50" s="447">
        <v>105374.53</v>
      </c>
      <c r="K50" s="448">
        <v>125000</v>
      </c>
      <c r="L50" s="268"/>
      <c r="M50" s="629">
        <v>128750</v>
      </c>
      <c r="N50" s="190">
        <f t="shared" si="44"/>
        <v>131325</v>
      </c>
      <c r="O50" s="190">
        <f t="shared" ref="O50:Q50" si="46">1.02*N50</f>
        <v>133951.5</v>
      </c>
      <c r="P50" s="190">
        <f t="shared" si="46"/>
        <v>136630.53</v>
      </c>
      <c r="Q50" s="190">
        <f t="shared" si="46"/>
        <v>139363.14060000001</v>
      </c>
    </row>
    <row r="51" spans="1:17" x14ac:dyDescent="0.3">
      <c r="A51" s="52">
        <v>6441</v>
      </c>
      <c r="B51" s="49"/>
      <c r="C51" s="245" t="s">
        <v>94</v>
      </c>
      <c r="D51" s="190">
        <v>0</v>
      </c>
      <c r="E51" s="190">
        <v>0</v>
      </c>
      <c r="F51" s="443"/>
      <c r="G51" s="444" t="e">
        <f>#REF!</f>
        <v>#REF!</v>
      </c>
      <c r="H51" s="445" t="e">
        <f>#REF!</f>
        <v>#REF!</v>
      </c>
      <c r="I51" s="446">
        <v>0</v>
      </c>
      <c r="J51" s="447"/>
      <c r="K51" s="448">
        <v>0</v>
      </c>
      <c r="L51" s="268"/>
      <c r="M51" s="629">
        <v>0</v>
      </c>
      <c r="N51" s="190">
        <f t="shared" si="44"/>
        <v>0</v>
      </c>
      <c r="O51" s="190">
        <f t="shared" ref="O51:Q51" si="47">1.02*N51</f>
        <v>0</v>
      </c>
      <c r="P51" s="190">
        <f t="shared" si="47"/>
        <v>0</v>
      </c>
      <c r="Q51" s="190">
        <f t="shared" si="47"/>
        <v>0</v>
      </c>
    </row>
    <row r="52" spans="1:17" x14ac:dyDescent="0.3">
      <c r="A52" s="52">
        <v>6451</v>
      </c>
      <c r="B52" s="49"/>
      <c r="C52" s="245" t="s">
        <v>95</v>
      </c>
      <c r="D52" s="190">
        <v>1206</v>
      </c>
      <c r="E52" s="190">
        <v>0</v>
      </c>
      <c r="F52" s="443"/>
      <c r="G52" s="444" t="e">
        <f>#REF!</f>
        <v>#REF!</v>
      </c>
      <c r="H52" s="445" t="e">
        <f>#REF!</f>
        <v>#REF!</v>
      </c>
      <c r="I52" s="446">
        <v>0</v>
      </c>
      <c r="J52" s="447"/>
      <c r="K52" s="448">
        <v>0</v>
      </c>
      <c r="L52" s="268"/>
      <c r="M52" s="629">
        <v>0</v>
      </c>
      <c r="N52" s="190">
        <f t="shared" si="44"/>
        <v>0</v>
      </c>
      <c r="O52" s="190">
        <f t="shared" ref="O52:Q52" si="48">1.02*N52</f>
        <v>0</v>
      </c>
      <c r="P52" s="190">
        <f t="shared" si="48"/>
        <v>0</v>
      </c>
      <c r="Q52" s="190">
        <f t="shared" si="48"/>
        <v>0</v>
      </c>
    </row>
    <row r="53" spans="1:17" x14ac:dyDescent="0.3">
      <c r="A53" s="52">
        <v>6471</v>
      </c>
      <c r="B53" s="49"/>
      <c r="C53" s="245" t="s">
        <v>172</v>
      </c>
      <c r="D53" s="190">
        <v>219454.28</v>
      </c>
      <c r="E53" s="190">
        <v>229940</v>
      </c>
      <c r="F53" s="443"/>
      <c r="G53" s="444"/>
      <c r="H53" s="445"/>
      <c r="I53" s="446">
        <v>210000</v>
      </c>
      <c r="J53" s="447">
        <v>206869.06</v>
      </c>
      <c r="K53" s="448">
        <v>250000</v>
      </c>
      <c r="L53" s="268"/>
      <c r="M53" s="629">
        <v>216300</v>
      </c>
      <c r="N53" s="190">
        <f t="shared" si="44"/>
        <v>220626</v>
      </c>
      <c r="O53" s="190">
        <f t="shared" ref="O53:Q53" si="49">1.02*N53</f>
        <v>225038.52</v>
      </c>
      <c r="P53" s="190">
        <f t="shared" si="49"/>
        <v>229539.2904</v>
      </c>
      <c r="Q53" s="190">
        <f t="shared" si="49"/>
        <v>234130.07620800001</v>
      </c>
    </row>
    <row r="54" spans="1:17" x14ac:dyDescent="0.3">
      <c r="A54" s="55">
        <v>6481</v>
      </c>
      <c r="B54" s="12"/>
      <c r="C54" s="249" t="s">
        <v>96</v>
      </c>
      <c r="D54" s="191">
        <v>149836</v>
      </c>
      <c r="E54" s="191">
        <v>161571</v>
      </c>
      <c r="F54" s="455"/>
      <c r="G54" s="456" t="e">
        <f>#REF!</f>
        <v>#REF!</v>
      </c>
      <c r="H54" s="457" t="e">
        <f>#REF!</f>
        <v>#REF!</v>
      </c>
      <c r="I54" s="458">
        <v>160000</v>
      </c>
      <c r="J54" s="459">
        <v>137392.29999999999</v>
      </c>
      <c r="K54" s="460">
        <v>170000</v>
      </c>
      <c r="L54" s="269"/>
      <c r="M54" s="630">
        <v>164800</v>
      </c>
      <c r="N54" s="191">
        <f>1.02*M54</f>
        <v>168096</v>
      </c>
      <c r="O54" s="191">
        <f t="shared" ref="O54:Q54" si="50">1.02*N54</f>
        <v>171457.92000000001</v>
      </c>
      <c r="P54" s="191">
        <f t="shared" si="50"/>
        <v>174887.07840000003</v>
      </c>
      <c r="Q54" s="191">
        <f t="shared" si="50"/>
        <v>178384.81996800003</v>
      </c>
    </row>
    <row r="55" spans="1:17" ht="16.2" thickBot="1" x14ac:dyDescent="0.35">
      <c r="A55" s="392"/>
      <c r="B55" s="109" t="s">
        <v>36</v>
      </c>
      <c r="C55" s="256"/>
      <c r="D55" s="186">
        <f t="shared" ref="D55:K55" si="51">SUM(D48:D54)</f>
        <v>790898.28</v>
      </c>
      <c r="E55" s="186">
        <f t="shared" ref="E55" si="52">SUM(E48:E54)</f>
        <v>943590</v>
      </c>
      <c r="F55" s="265"/>
      <c r="G55" s="497" t="e">
        <f t="shared" si="51"/>
        <v>#REF!</v>
      </c>
      <c r="H55" s="205" t="e">
        <f t="shared" si="51"/>
        <v>#REF!</v>
      </c>
      <c r="I55" s="498">
        <f t="shared" si="51"/>
        <v>848800</v>
      </c>
      <c r="J55" s="499">
        <f t="shared" si="51"/>
        <v>897417.09000000008</v>
      </c>
      <c r="K55" s="500">
        <f t="shared" si="51"/>
        <v>1021300</v>
      </c>
      <c r="L55" s="327"/>
      <c r="M55" s="625">
        <f t="shared" ref="M55" si="53">SUM(M48:M54)</f>
        <v>859870</v>
      </c>
      <c r="N55" s="186">
        <f t="shared" ref="N55:P55" si="54">SUM(N48:N54)</f>
        <v>877067.4</v>
      </c>
      <c r="O55" s="186">
        <f t="shared" si="54"/>
        <v>944608.74800000002</v>
      </c>
      <c r="P55" s="186">
        <f t="shared" si="54"/>
        <v>963500.92295999988</v>
      </c>
      <c r="Q55" s="186">
        <f t="shared" ref="Q55" si="55">SUM(Q48:Q54)</f>
        <v>982770.94141920004</v>
      </c>
    </row>
    <row r="56" spans="1:17" x14ac:dyDescent="0.3">
      <c r="A56" s="56"/>
      <c r="B56" s="8"/>
      <c r="C56" s="257"/>
      <c r="D56" s="502"/>
      <c r="E56" s="502"/>
      <c r="F56" s="264"/>
      <c r="G56" s="501"/>
      <c r="H56" s="62"/>
      <c r="I56" s="503"/>
      <c r="J56" s="504"/>
      <c r="K56" s="437"/>
      <c r="L56" s="328"/>
      <c r="M56" s="634"/>
      <c r="N56" s="196"/>
      <c r="O56" s="196"/>
      <c r="P56" s="196"/>
      <c r="Q56" s="196"/>
    </row>
    <row r="57" spans="1:17" x14ac:dyDescent="0.3">
      <c r="A57" s="52" t="s">
        <v>198</v>
      </c>
      <c r="B57" s="10"/>
      <c r="C57" s="245" t="s">
        <v>97</v>
      </c>
      <c r="D57" s="505">
        <v>185697</v>
      </c>
      <c r="E57" s="505">
        <v>96130</v>
      </c>
      <c r="F57" s="443"/>
      <c r="G57" s="444" t="e">
        <f>#REF!</f>
        <v>#REF!</v>
      </c>
      <c r="H57" s="445" t="e">
        <f>#REF!</f>
        <v>#REF!</v>
      </c>
      <c r="I57" s="447">
        <v>20000</v>
      </c>
      <c r="J57" s="447">
        <v>70386.13</v>
      </c>
      <c r="K57" s="447">
        <v>85000</v>
      </c>
      <c r="L57" s="329"/>
      <c r="M57" s="629">
        <v>28840</v>
      </c>
      <c r="N57" s="190">
        <f t="shared" ref="N57:N59" si="56">M57</f>
        <v>28840</v>
      </c>
      <c r="O57" s="190">
        <f t="shared" ref="O57:O59" si="57">N57</f>
        <v>28840</v>
      </c>
      <c r="P57" s="190">
        <f t="shared" ref="P57:Q59" si="58">O57</f>
        <v>28840</v>
      </c>
      <c r="Q57" s="190">
        <f t="shared" si="58"/>
        <v>28840</v>
      </c>
    </row>
    <row r="58" spans="1:17" x14ac:dyDescent="0.3">
      <c r="A58" s="52">
        <v>6541</v>
      </c>
      <c r="B58" s="10"/>
      <c r="C58" s="245" t="s">
        <v>98</v>
      </c>
      <c r="D58" s="190">
        <v>3101</v>
      </c>
      <c r="E58" s="190">
        <v>14351</v>
      </c>
      <c r="F58" s="443"/>
      <c r="G58" s="444" t="e">
        <f>#REF!</f>
        <v>#REF!</v>
      </c>
      <c r="H58" s="445" t="e">
        <f>#REF!</f>
        <v>#REF!</v>
      </c>
      <c r="I58" s="446">
        <v>14000</v>
      </c>
      <c r="J58" s="447">
        <v>43778.03</v>
      </c>
      <c r="K58" s="448">
        <v>50000</v>
      </c>
      <c r="L58" s="329"/>
      <c r="M58" s="629">
        <v>14420</v>
      </c>
      <c r="N58" s="190">
        <f t="shared" si="56"/>
        <v>14420</v>
      </c>
      <c r="O58" s="190">
        <f t="shared" si="57"/>
        <v>14420</v>
      </c>
      <c r="P58" s="190">
        <f t="shared" si="58"/>
        <v>14420</v>
      </c>
      <c r="Q58" s="190">
        <f t="shared" si="58"/>
        <v>14420</v>
      </c>
    </row>
    <row r="59" spans="1:17" x14ac:dyDescent="0.3">
      <c r="A59" s="52">
        <v>6544</v>
      </c>
      <c r="B59" s="10"/>
      <c r="C59" s="245" t="s">
        <v>99</v>
      </c>
      <c r="D59" s="190">
        <v>0</v>
      </c>
      <c r="E59" s="190">
        <v>12750</v>
      </c>
      <c r="F59" s="443"/>
      <c r="G59" s="506" t="e">
        <f>#REF!</f>
        <v>#REF!</v>
      </c>
      <c r="H59" s="445" t="e">
        <f>#REF!</f>
        <v>#REF!</v>
      </c>
      <c r="I59" s="446">
        <v>12750</v>
      </c>
      <c r="J59" s="447">
        <v>2250</v>
      </c>
      <c r="K59" s="448">
        <v>0</v>
      </c>
      <c r="L59" s="329"/>
      <c r="M59" s="629">
        <v>12750</v>
      </c>
      <c r="N59" s="190">
        <f t="shared" si="56"/>
        <v>12750</v>
      </c>
      <c r="O59" s="190">
        <f t="shared" si="57"/>
        <v>12750</v>
      </c>
      <c r="P59" s="190">
        <f t="shared" si="58"/>
        <v>12750</v>
      </c>
      <c r="Q59" s="190">
        <f t="shared" si="58"/>
        <v>12750</v>
      </c>
    </row>
    <row r="60" spans="1:17" x14ac:dyDescent="0.3">
      <c r="A60" s="52">
        <v>6612</v>
      </c>
      <c r="B60" s="10"/>
      <c r="C60" s="245" t="s">
        <v>100</v>
      </c>
      <c r="D60" s="190">
        <v>0</v>
      </c>
      <c r="E60" s="190">
        <v>0</v>
      </c>
      <c r="F60" s="443"/>
      <c r="G60" s="444" t="e">
        <f>#REF!</f>
        <v>#REF!</v>
      </c>
      <c r="H60" s="445" t="e">
        <f>#REF!</f>
        <v>#REF!</v>
      </c>
      <c r="I60" s="446">
        <v>0</v>
      </c>
      <c r="J60" s="447"/>
      <c r="K60" s="448">
        <v>0</v>
      </c>
      <c r="L60" s="329"/>
      <c r="M60" s="629">
        <v>0</v>
      </c>
      <c r="N60" s="190">
        <v>0</v>
      </c>
      <c r="O60" s="190">
        <v>0</v>
      </c>
      <c r="P60" s="190">
        <v>0</v>
      </c>
      <c r="Q60" s="190">
        <v>0</v>
      </c>
    </row>
    <row r="61" spans="1:17" x14ac:dyDescent="0.3">
      <c r="A61" s="52">
        <v>6613</v>
      </c>
      <c r="B61" s="53"/>
      <c r="C61" s="251" t="s">
        <v>101</v>
      </c>
      <c r="D61" s="190">
        <v>124181</v>
      </c>
      <c r="E61" s="190">
        <v>133621</v>
      </c>
      <c r="F61" s="443"/>
      <c r="G61" s="444" t="e">
        <f>#REF!</f>
        <v>#REF!</v>
      </c>
      <c r="H61" s="445" t="e">
        <f>#REF!</f>
        <v>#REF!</v>
      </c>
      <c r="I61" s="446">
        <v>143780</v>
      </c>
      <c r="J61" s="447">
        <v>119817.3</v>
      </c>
      <c r="K61" s="448">
        <v>143780</v>
      </c>
      <c r="L61" s="329"/>
      <c r="M61" s="629">
        <v>0</v>
      </c>
      <c r="N61" s="190">
        <v>0</v>
      </c>
      <c r="O61" s="190">
        <v>0</v>
      </c>
      <c r="P61" s="190">
        <v>0</v>
      </c>
      <c r="Q61" s="190">
        <v>0</v>
      </c>
    </row>
    <row r="62" spans="1:17" x14ac:dyDescent="0.3">
      <c r="A62" s="52">
        <v>6614</v>
      </c>
      <c r="B62" s="53"/>
      <c r="C62" s="251" t="s">
        <v>102</v>
      </c>
      <c r="D62" s="190">
        <v>0</v>
      </c>
      <c r="E62" s="190">
        <v>0</v>
      </c>
      <c r="F62" s="443"/>
      <c r="G62" s="444" t="e">
        <f>#REF!+#REF!</f>
        <v>#REF!</v>
      </c>
      <c r="H62" s="445" t="e">
        <f>#REF!+#REF!</f>
        <v>#REF!</v>
      </c>
      <c r="I62" s="446">
        <v>0</v>
      </c>
      <c r="J62" s="447"/>
      <c r="K62" s="448">
        <v>0</v>
      </c>
      <c r="L62" s="329"/>
      <c r="M62" s="629">
        <v>14493</v>
      </c>
      <c r="N62" s="190">
        <v>25644</v>
      </c>
      <c r="O62" s="190">
        <v>26691</v>
      </c>
      <c r="P62" s="190">
        <v>27778</v>
      </c>
      <c r="Q62" s="190">
        <v>27778</v>
      </c>
    </row>
    <row r="63" spans="1:17" x14ac:dyDescent="0.3">
      <c r="A63" s="52">
        <v>6622</v>
      </c>
      <c r="B63" s="53"/>
      <c r="C63" s="251" t="s">
        <v>103</v>
      </c>
      <c r="D63" s="190">
        <v>0</v>
      </c>
      <c r="E63" s="190">
        <v>0</v>
      </c>
      <c r="F63" s="443"/>
      <c r="G63" s="444" t="e">
        <f>#REF!</f>
        <v>#REF!</v>
      </c>
      <c r="H63" s="445" t="e">
        <f>#REF!</f>
        <v>#REF!</v>
      </c>
      <c r="I63" s="446">
        <v>0</v>
      </c>
      <c r="J63" s="447"/>
      <c r="K63" s="448">
        <v>0</v>
      </c>
      <c r="L63" s="329"/>
      <c r="M63" s="629">
        <v>0</v>
      </c>
      <c r="N63" s="190">
        <v>0</v>
      </c>
      <c r="O63" s="190">
        <v>0</v>
      </c>
      <c r="P63" s="190">
        <v>0</v>
      </c>
      <c r="Q63" s="190">
        <v>0</v>
      </c>
    </row>
    <row r="64" spans="1:17" x14ac:dyDescent="0.3">
      <c r="A64" s="52">
        <v>6623</v>
      </c>
      <c r="B64" s="53"/>
      <c r="C64" s="251" t="s">
        <v>112</v>
      </c>
      <c r="D64" s="190">
        <v>25390</v>
      </c>
      <c r="E64" s="190">
        <v>15950</v>
      </c>
      <c r="F64" s="443"/>
      <c r="G64" s="444" t="e">
        <f>#REF!</f>
        <v>#REF!</v>
      </c>
      <c r="H64" s="445" t="e">
        <f>#REF!</f>
        <v>#REF!</v>
      </c>
      <c r="I64" s="446">
        <v>5790</v>
      </c>
      <c r="J64" s="447">
        <v>4825</v>
      </c>
      <c r="K64" s="448">
        <v>5790</v>
      </c>
      <c r="L64" s="329"/>
      <c r="M64" s="629">
        <v>0</v>
      </c>
      <c r="N64" s="190">
        <v>0</v>
      </c>
      <c r="O64" s="190">
        <v>0</v>
      </c>
      <c r="P64" s="190">
        <v>0</v>
      </c>
      <c r="Q64" s="190">
        <v>0</v>
      </c>
    </row>
    <row r="65" spans="1:17" ht="15" thickBot="1" x14ac:dyDescent="0.35">
      <c r="A65" s="55">
        <v>6624</v>
      </c>
      <c r="B65" s="14"/>
      <c r="C65" s="258" t="s">
        <v>119</v>
      </c>
      <c r="D65" s="191">
        <v>42742</v>
      </c>
      <c r="E65" s="191">
        <v>39229</v>
      </c>
      <c r="F65" s="455"/>
      <c r="G65" s="456" t="e">
        <f>#REF!+#REF!</f>
        <v>#REF!</v>
      </c>
      <c r="H65" s="457" t="e">
        <f>#REF!+#REF!</f>
        <v>#REF!</v>
      </c>
      <c r="I65" s="458">
        <v>42859</v>
      </c>
      <c r="J65" s="459">
        <v>39229.050000000003</v>
      </c>
      <c r="K65" s="460">
        <v>48577</v>
      </c>
      <c r="L65" s="345"/>
      <c r="M65" s="630">
        <v>42365</v>
      </c>
      <c r="N65" s="191">
        <v>41112</v>
      </c>
      <c r="O65" s="191">
        <v>40065</v>
      </c>
      <c r="P65" s="191">
        <v>38978</v>
      </c>
      <c r="Q65" s="191">
        <v>38978</v>
      </c>
    </row>
    <row r="66" spans="1:17" ht="15.6" x14ac:dyDescent="0.3">
      <c r="A66" s="393"/>
      <c r="B66" s="111" t="s">
        <v>37</v>
      </c>
      <c r="C66" s="259"/>
      <c r="D66" s="187">
        <f>SUM(D57:D65)</f>
        <v>381111</v>
      </c>
      <c r="E66" s="187">
        <f>SUM(E57:E65)</f>
        <v>312031</v>
      </c>
      <c r="F66" s="266"/>
      <c r="G66" s="507" t="e">
        <f t="shared" ref="G66:K66" si="59">SUM(G57:G65)</f>
        <v>#REF!</v>
      </c>
      <c r="H66" s="112" t="e">
        <f t="shared" si="59"/>
        <v>#REF!</v>
      </c>
      <c r="I66" s="508">
        <f t="shared" si="59"/>
        <v>239179</v>
      </c>
      <c r="J66" s="509">
        <f t="shared" si="59"/>
        <v>280285.51</v>
      </c>
      <c r="K66" s="510">
        <f t="shared" si="59"/>
        <v>333147</v>
      </c>
      <c r="L66" s="279"/>
      <c r="M66" s="626">
        <f t="shared" ref="M66" si="60">SUM(M57:M65)</f>
        <v>112868</v>
      </c>
      <c r="N66" s="187">
        <f t="shared" ref="N66:P66" si="61">SUM(N57:N65)</f>
        <v>122766</v>
      </c>
      <c r="O66" s="187">
        <f t="shared" si="61"/>
        <v>122766</v>
      </c>
      <c r="P66" s="187">
        <f t="shared" si="61"/>
        <v>122766</v>
      </c>
      <c r="Q66" s="187">
        <f t="shared" ref="Q66" si="62">SUM(Q57:Q65)</f>
        <v>122766</v>
      </c>
    </row>
    <row r="67" spans="1:17" x14ac:dyDescent="0.3">
      <c r="A67" s="56"/>
      <c r="B67" s="57"/>
      <c r="C67" s="57"/>
      <c r="D67" s="511"/>
      <c r="E67" s="198"/>
      <c r="F67" s="512"/>
      <c r="G67" s="501"/>
      <c r="H67" s="63"/>
      <c r="I67" s="513"/>
      <c r="J67" s="435"/>
      <c r="K67" s="244"/>
      <c r="L67" s="280"/>
      <c r="M67" s="579"/>
      <c r="N67" s="198"/>
      <c r="O67" s="198"/>
      <c r="P67" s="198"/>
      <c r="Q67" s="198"/>
    </row>
    <row r="68" spans="1:17" ht="18.600000000000001" thickBot="1" x14ac:dyDescent="0.4">
      <c r="A68" s="394"/>
      <c r="B68" s="113" t="s">
        <v>39</v>
      </c>
      <c r="C68" s="260"/>
      <c r="D68" s="199">
        <f>D11+D21+D46+D55+D66</f>
        <v>7067113.4799999995</v>
      </c>
      <c r="E68" s="199">
        <f>E11+E21+E46+E55+E66</f>
        <v>7905229.8000000007</v>
      </c>
      <c r="F68" s="514"/>
      <c r="G68" s="515" t="e">
        <f t="shared" ref="G68:K68" si="63">G11+G21+G46+G55+G66</f>
        <v>#REF!</v>
      </c>
      <c r="H68" s="516" t="e">
        <f t="shared" si="63"/>
        <v>#REF!</v>
      </c>
      <c r="I68" s="517">
        <f t="shared" si="63"/>
        <v>8110816</v>
      </c>
      <c r="J68" s="518">
        <f t="shared" si="63"/>
        <v>6649396.0599999996</v>
      </c>
      <c r="K68" s="519">
        <f t="shared" si="63"/>
        <v>8139355</v>
      </c>
      <c r="L68" s="281"/>
      <c r="M68" s="627">
        <f>M11+M21+M46+M55+M66</f>
        <v>7452348</v>
      </c>
      <c r="N68" s="199">
        <f>N11+N21+N46+N55+N66</f>
        <v>7662360.6500000004</v>
      </c>
      <c r="O68" s="199">
        <f>O11+O21+O46+O55+O66</f>
        <v>7918550.8385000005</v>
      </c>
      <c r="P68" s="199">
        <f>P11+P21+P46+P55+P66</f>
        <v>8132033.418215001</v>
      </c>
      <c r="Q68" s="199">
        <f>Q11+Q21+Q46+Q55+Q66</f>
        <v>8352054.7592932498</v>
      </c>
    </row>
    <row r="69" spans="1:17" x14ac:dyDescent="0.3">
      <c r="I69" s="34"/>
      <c r="L69" s="32"/>
      <c r="M69" s="349"/>
      <c r="N69" s="32"/>
      <c r="O69" s="32"/>
      <c r="P69" s="32"/>
      <c r="Q69" s="32"/>
    </row>
    <row r="70" spans="1:17" x14ac:dyDescent="0.3">
      <c r="E70" s="64"/>
      <c r="I70" s="34"/>
    </row>
    <row r="71" spans="1:17" x14ac:dyDescent="0.3">
      <c r="E71" s="525"/>
      <c r="J71" s="520"/>
      <c r="K71" s="520"/>
    </row>
    <row r="72" spans="1:17" x14ac:dyDescent="0.3">
      <c r="J72" s="520"/>
    </row>
    <row r="73" spans="1:17" x14ac:dyDescent="0.3">
      <c r="J73" s="520"/>
    </row>
    <row r="74" spans="1:17" x14ac:dyDescent="0.3">
      <c r="J74" s="521"/>
    </row>
  </sheetData>
  <pageMargins left="0.7" right="0.7" top="0.75" bottom="0.75" header="0.3" footer="0.3"/>
  <pageSetup scale="75" firstPageNumber="13" fitToHeight="0" orientation="landscape" useFirstPageNumber="1" r:id="rId1"/>
  <headerFooter>
    <oddHeader>&amp;L&amp;"-,Bold Italic"&amp;18EXPENDITURES&amp;C&amp;"-,Bold Italic"&amp;18SLLIS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REPORT</vt:lpstr>
      <vt:lpstr>EOY Bal Chart</vt:lpstr>
      <vt:lpstr>Rev Exp Charts</vt:lpstr>
      <vt:lpstr>REVENUE</vt:lpstr>
      <vt:lpstr>EXPENDITURES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 Charles</dc:creator>
  <cp:lastModifiedBy>Randal Charles</cp:lastModifiedBy>
  <cp:lastPrinted>2024-05-12T13:49:52Z</cp:lastPrinted>
  <dcterms:created xsi:type="dcterms:W3CDTF">2022-01-31T17:05:17Z</dcterms:created>
  <dcterms:modified xsi:type="dcterms:W3CDTF">2024-05-13T20:54:54Z</dcterms:modified>
</cp:coreProperties>
</file>