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19200" windowHeight="11355" tabRatio="602"/>
  </bookViews>
  <sheets>
    <sheet name="UMSL" sheetId="14" r:id="rId1"/>
  </sheets>
  <definedNames>
    <definedName name="_1__123Graph_ACHART_1" hidden="1">#REF!</definedName>
    <definedName name="_10__123Graph_ACHART_18" hidden="1">#REF!</definedName>
    <definedName name="_11__123Graph_ACHART_19" hidden="1">#REF!</definedName>
    <definedName name="_12__123Graph_ACHART_2" hidden="1">#REF!</definedName>
    <definedName name="_13__123Graph_ACHART_20" hidden="1">#REF!</definedName>
    <definedName name="_14__123Graph_ACHART_21" hidden="1">#REF!</definedName>
    <definedName name="_15__123Graph_ACHART_22" hidden="1">#REF!</definedName>
    <definedName name="_16__123Graph_ACHART_23" hidden="1">#REF!</definedName>
    <definedName name="_17__123Graph_ACHART_24" hidden="1">#REF!</definedName>
    <definedName name="_18__123Graph_ACHART_3" hidden="1">#REF!</definedName>
    <definedName name="_19__123Graph_ACHART_4" hidden="1">#REF!</definedName>
    <definedName name="_2__123Graph_ACHART_10" hidden="1">#REF!</definedName>
    <definedName name="_20__123Graph_ACHART_5" hidden="1">#REF!</definedName>
    <definedName name="_21__123Graph_ACHART_6" hidden="1">#REF!</definedName>
    <definedName name="_22__123Graph_ACHART_7" hidden="1">#REF!</definedName>
    <definedName name="_23__123Graph_ACHART_8" hidden="1">#REF!</definedName>
    <definedName name="_24__123Graph_ACHART_9" hidden="1">#REF!</definedName>
    <definedName name="_25__123Graph_XCHART_1" hidden="1">#REF!</definedName>
    <definedName name="_26__123Graph_XCHART_10" hidden="1">#REF!</definedName>
    <definedName name="_27__123Graph_XCHART_11" hidden="1">#REF!</definedName>
    <definedName name="_28__123Graph_XCHART_12" hidden="1">#REF!</definedName>
    <definedName name="_29__123Graph_XCHART_13" hidden="1">#REF!</definedName>
    <definedName name="_3__123Graph_ACHART_11" hidden="1">#REF!</definedName>
    <definedName name="_30__123Graph_XCHART_14" hidden="1">#REF!</definedName>
    <definedName name="_31__123Graph_XCHART_15" hidden="1">#REF!</definedName>
    <definedName name="_32__123Graph_XCHART_16" hidden="1">#REF!</definedName>
    <definedName name="_33__123Graph_XCHART_17" hidden="1">#REF!</definedName>
    <definedName name="_34__123Graph_XCHART_18" hidden="1">#REF!</definedName>
    <definedName name="_35__123Graph_XCHART_19" hidden="1">#REF!</definedName>
    <definedName name="_36__123Graph_XCHART_2" hidden="1">#REF!</definedName>
    <definedName name="_37__123Graph_XCHART_20" hidden="1">#REF!</definedName>
    <definedName name="_38__123Graph_XCHART_21" hidden="1">#REF!</definedName>
    <definedName name="_39__123Graph_XCHART_22" hidden="1">#REF!</definedName>
    <definedName name="_4__123Graph_ACHART_12" hidden="1">#REF!</definedName>
    <definedName name="_40__123Graph_XCHART_23" hidden="1">#REF!</definedName>
    <definedName name="_41__123Graph_XCHART_24" hidden="1">#REF!</definedName>
    <definedName name="_42__123Graph_XCHART_3" hidden="1">#REF!</definedName>
    <definedName name="_43__123Graph_XCHART_4" hidden="1">#REF!</definedName>
    <definedName name="_44__123Graph_XCHART_5" hidden="1">#REF!</definedName>
    <definedName name="_45__123Graph_XCHART_6" hidden="1">#REF!</definedName>
    <definedName name="_46__123Graph_XCHART_7" hidden="1">#REF!</definedName>
    <definedName name="_47__123Graph_XCHART_8" hidden="1">#REF!</definedName>
    <definedName name="_48__123Graph_XCHART_9" hidden="1">#REF!</definedName>
    <definedName name="_5__123Graph_ACHART_13" hidden="1">#REF!</definedName>
    <definedName name="_6__123Graph_ACHART_14" hidden="1">#REF!</definedName>
    <definedName name="_7__123Graph_ACHART_15" hidden="1">#REF!</definedName>
    <definedName name="_8__123Graph_ACHART_16" hidden="1">#REF!</definedName>
    <definedName name="_9__123Graph_ACHART_17" hidden="1">#REF!</definedName>
    <definedName name="HTML_CodePage" hidden="1">1252</definedName>
    <definedName name="HTML_Control" localSheetId="0" hidden="1">{"'UMSL'!$A$1:$AA$193"}</definedName>
    <definedName name="HTML_Control" hidden="1">{"'UMSL'!$A$1:$AA$193"}</definedName>
    <definedName name="HTML_Description" hidden="1">""</definedName>
    <definedName name="HTML_Email" hidden="1">""</definedName>
    <definedName name="HTML_Header" hidden="1">""</definedName>
    <definedName name="HTML_LastUpdate" hidden="1">"9/22/98"</definedName>
    <definedName name="HTML_LineAfter" hidden="1">FALSE</definedName>
    <definedName name="HTML_LineBefore" hidden="1">FALSE</definedName>
    <definedName name="HTML_Name" hidden="1">"Chatman"</definedName>
    <definedName name="HTML_OBDlg2" hidden="1">TRUE</definedName>
    <definedName name="HTML_OBDlg4" hidden="1">TRUE</definedName>
    <definedName name="HTML_OS" hidden="1">0</definedName>
    <definedName name="HTML_PathFile" hidden="1">"P:\BUDGET\ALISHA\stevehtml"</definedName>
    <definedName name="HTML_Title" hidden="1">"htmlver"</definedName>
    <definedName name="_xlnm.Print_Area" localSheetId="0">UMSL!$A$1:$BB$380</definedName>
    <definedName name="_xlnm.Print_Titles" localSheetId="0">UMSL!$1:$10</definedName>
  </definedNames>
  <calcPr calcId="162913"/>
</workbook>
</file>

<file path=xl/calcChain.xml><?xml version="1.0" encoding="utf-8"?>
<calcChain xmlns="http://schemas.openxmlformats.org/spreadsheetml/2006/main">
  <c r="AT292" i="14" l="1"/>
  <c r="AT115" i="14"/>
  <c r="AE295" i="14" l="1"/>
  <c r="AD295" i="14"/>
  <c r="AC295" i="14"/>
  <c r="AB295" i="14"/>
  <c r="AA295" i="14"/>
  <c r="Z295" i="14"/>
  <c r="Y295" i="14"/>
  <c r="X295" i="14"/>
  <c r="W295" i="14"/>
  <c r="V295" i="14"/>
  <c r="U295" i="14"/>
  <c r="T295" i="14"/>
  <c r="S295" i="14"/>
  <c r="R295" i="14"/>
  <c r="Q295" i="14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J293" i="14"/>
  <c r="I293" i="14"/>
  <c r="H293" i="14"/>
  <c r="G293" i="14"/>
  <c r="F293" i="14"/>
  <c r="E293" i="14"/>
  <c r="AS116" i="14" l="1"/>
  <c r="AR116" i="14"/>
  <c r="AQ116" i="14"/>
  <c r="AP116" i="14"/>
  <c r="AO116" i="14"/>
  <c r="AN116" i="14"/>
  <c r="AM116" i="14"/>
  <c r="AL116" i="14"/>
  <c r="AK116" i="14"/>
  <c r="AJ116" i="14"/>
  <c r="AI116" i="14"/>
  <c r="AD116" i="14"/>
  <c r="AC116" i="14"/>
  <c r="AB116" i="14"/>
  <c r="W116" i="14"/>
  <c r="V116" i="14"/>
  <c r="U116" i="14"/>
  <c r="T116" i="14"/>
  <c r="R116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AT116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W117" i="14"/>
  <c r="V117" i="14"/>
  <c r="U117" i="14"/>
  <c r="T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AM115" i="14"/>
  <c r="AL115" i="14"/>
  <c r="AK115" i="14"/>
  <c r="AJ115" i="14"/>
  <c r="AI115" i="14"/>
  <c r="AH115" i="14"/>
  <c r="AG115" i="14"/>
  <c r="AF115" i="14"/>
  <c r="AE115" i="14"/>
  <c r="AD115" i="14"/>
  <c r="AC115" i="14"/>
  <c r="AB115" i="14"/>
  <c r="AA115" i="14"/>
  <c r="Z115" i="14"/>
  <c r="Y115" i="14"/>
  <c r="X115" i="14"/>
  <c r="W115" i="14"/>
  <c r="V115" i="14"/>
  <c r="V292" i="14" s="1"/>
  <c r="U115" i="14"/>
  <c r="U292" i="14" s="1"/>
  <c r="T115" i="14"/>
  <c r="T292" i="14" s="1"/>
  <c r="S115" i="14"/>
  <c r="S292" i="14" s="1"/>
  <c r="R115" i="14"/>
  <c r="R292" i="14" s="1"/>
  <c r="Q115" i="14"/>
  <c r="Q292" i="14" s="1"/>
  <c r="P115" i="14"/>
  <c r="P292" i="14" s="1"/>
  <c r="O115" i="14"/>
  <c r="O292" i="14" s="1"/>
  <c r="N115" i="14"/>
  <c r="N292" i="14" s="1"/>
  <c r="M115" i="14"/>
  <c r="M292" i="14" s="1"/>
  <c r="L115" i="14"/>
  <c r="L292" i="14" s="1"/>
  <c r="K115" i="14"/>
  <c r="K292" i="14" s="1"/>
  <c r="J115" i="14"/>
  <c r="J292" i="14" s="1"/>
  <c r="I115" i="14"/>
  <c r="I292" i="14" s="1"/>
  <c r="H115" i="14"/>
  <c r="H292" i="14" s="1"/>
  <c r="G115" i="14"/>
  <c r="G292" i="14" s="1"/>
  <c r="F115" i="14"/>
  <c r="F292" i="14" s="1"/>
  <c r="E115" i="14"/>
  <c r="E292" i="14" s="1"/>
  <c r="AM114" i="14"/>
  <c r="AL114" i="14"/>
  <c r="AK114" i="14"/>
  <c r="AS117" i="14"/>
  <c r="AR117" i="14"/>
  <c r="AQ117" i="14"/>
  <c r="AP117" i="14"/>
  <c r="AO117" i="14"/>
  <c r="AN117" i="14"/>
  <c r="AS115" i="14"/>
  <c r="AR115" i="14"/>
  <c r="AQ115" i="14"/>
  <c r="AP115" i="14"/>
  <c r="AO115" i="14"/>
  <c r="AN115" i="14"/>
  <c r="AS114" i="14"/>
  <c r="AR114" i="14"/>
  <c r="AQ114" i="14"/>
  <c r="AP114" i="14"/>
  <c r="AO114" i="14"/>
  <c r="AN114" i="14"/>
  <c r="AS113" i="14"/>
  <c r="AR113" i="14"/>
  <c r="AR119" i="14" s="1"/>
  <c r="AQ113" i="14"/>
  <c r="AP113" i="14"/>
  <c r="AO113" i="14"/>
  <c r="AN113" i="14"/>
  <c r="AN119" i="14" s="1"/>
  <c r="AT117" i="14"/>
  <c r="AT114" i="14"/>
  <c r="AH25" i="14"/>
  <c r="AH24" i="14"/>
  <c r="AG25" i="14"/>
  <c r="AG24" i="14"/>
  <c r="AF25" i="14"/>
  <c r="AF24" i="14"/>
  <c r="AE25" i="14"/>
  <c r="AE24" i="14"/>
  <c r="AD25" i="14"/>
  <c r="AD24" i="14"/>
  <c r="AC25" i="14"/>
  <c r="AC24" i="14"/>
  <c r="AJ39" i="14"/>
  <c r="AJ114" i="14" s="1"/>
  <c r="AI39" i="14"/>
  <c r="AI114" i="14" s="1"/>
  <c r="AH40" i="14"/>
  <c r="AH39" i="14"/>
  <c r="AG40" i="14"/>
  <c r="AG39" i="14"/>
  <c r="AF40" i="14"/>
  <c r="AF39" i="14"/>
  <c r="AE40" i="14"/>
  <c r="AE116" i="14" s="1"/>
  <c r="AE39" i="14"/>
  <c r="AD39" i="14"/>
  <c r="AC39" i="14"/>
  <c r="AH82" i="14"/>
  <c r="AG82" i="14"/>
  <c r="AF82" i="14"/>
  <c r="AC81" i="14"/>
  <c r="AT113" i="14"/>
  <c r="AS240" i="14"/>
  <c r="AR240" i="14"/>
  <c r="AP240" i="14"/>
  <c r="AO240" i="14"/>
  <c r="AN240" i="14"/>
  <c r="AM240" i="14"/>
  <c r="AL240" i="14"/>
  <c r="AK240" i="14"/>
  <c r="AJ240" i="14"/>
  <c r="AI240" i="14"/>
  <c r="AH240" i="14"/>
  <c r="AG240" i="14"/>
  <c r="AF240" i="14"/>
  <c r="AE240" i="14"/>
  <c r="AD240" i="14"/>
  <c r="AC240" i="14"/>
  <c r="AB240" i="14"/>
  <c r="AA240" i="14"/>
  <c r="AS239" i="14"/>
  <c r="AR239" i="14"/>
  <c r="AQ239" i="14"/>
  <c r="AP239" i="14"/>
  <c r="AO239" i="14"/>
  <c r="AN239" i="14"/>
  <c r="AM239" i="14"/>
  <c r="AL239" i="14"/>
  <c r="AK239" i="14"/>
  <c r="AJ239" i="14"/>
  <c r="AI239" i="14"/>
  <c r="AS238" i="14"/>
  <c r="AR238" i="14"/>
  <c r="AP238" i="14"/>
  <c r="AO238" i="14"/>
  <c r="AN238" i="14"/>
  <c r="AM238" i="14"/>
  <c r="AL238" i="14"/>
  <c r="AK238" i="14"/>
  <c r="AJ238" i="14"/>
  <c r="AI238" i="14"/>
  <c r="AH238" i="14"/>
  <c r="AG238" i="14"/>
  <c r="AF238" i="14"/>
  <c r="AE238" i="14"/>
  <c r="AD238" i="14"/>
  <c r="AC238" i="14"/>
  <c r="AB238" i="14"/>
  <c r="Z238" i="14"/>
  <c r="Z242" i="14" s="1"/>
  <c r="Y238" i="14"/>
  <c r="Y242" i="14" s="1"/>
  <c r="X238" i="14"/>
  <c r="X242" i="14" s="1"/>
  <c r="V238" i="14"/>
  <c r="V242" i="14" s="1"/>
  <c r="U238" i="14"/>
  <c r="U242" i="14" s="1"/>
  <c r="T238" i="14"/>
  <c r="T242" i="14" s="1"/>
  <c r="S238" i="14"/>
  <c r="S242" i="14" s="1"/>
  <c r="R238" i="14"/>
  <c r="R242" i="14" s="1"/>
  <c r="Q238" i="14"/>
  <c r="Q242" i="14" s="1"/>
  <c r="P238" i="14"/>
  <c r="P242" i="14" s="1"/>
  <c r="O238" i="14"/>
  <c r="O242" i="14" s="1"/>
  <c r="N238" i="14"/>
  <c r="N242" i="14" s="1"/>
  <c r="M238" i="14"/>
  <c r="M242" i="14" s="1"/>
  <c r="L238" i="14"/>
  <c r="L242" i="14" s="1"/>
  <c r="K238" i="14"/>
  <c r="K242" i="14" s="1"/>
  <c r="J238" i="14"/>
  <c r="J242" i="14" s="1"/>
  <c r="I238" i="14"/>
  <c r="I242" i="14" s="1"/>
  <c r="H238" i="14"/>
  <c r="H242" i="14" s="1"/>
  <c r="G238" i="14"/>
  <c r="G242" i="14" s="1"/>
  <c r="F238" i="14"/>
  <c r="F242" i="14" s="1"/>
  <c r="E238" i="14"/>
  <c r="E242" i="14" s="1"/>
  <c r="AT240" i="14"/>
  <c r="AT239" i="14"/>
  <c r="AQ232" i="14"/>
  <c r="AQ240" i="14" s="1"/>
  <c r="AQ231" i="14"/>
  <c r="AQ238" i="14" s="1"/>
  <c r="AF114" i="14" l="1"/>
  <c r="AF116" i="14"/>
  <c r="AH116" i="14"/>
  <c r="AH114" i="14"/>
  <c r="AH119" i="14" s="1"/>
  <c r="AG116" i="14"/>
  <c r="AG114" i="14"/>
  <c r="AI119" i="14"/>
  <c r="AF119" i="14"/>
  <c r="AG119" i="14"/>
  <c r="AJ119" i="14"/>
  <c r="AK119" i="14"/>
  <c r="AL119" i="14"/>
  <c r="AM119" i="14"/>
  <c r="AO119" i="14"/>
  <c r="AS119" i="14"/>
  <c r="AQ119" i="14"/>
  <c r="AP119" i="14"/>
  <c r="AT119" i="14"/>
  <c r="AD242" i="14"/>
  <c r="AH242" i="14"/>
  <c r="AE242" i="14"/>
  <c r="AI242" i="14"/>
  <c r="AM242" i="14"/>
  <c r="AB242" i="14"/>
  <c r="AF242" i="14"/>
  <c r="AR242" i="14"/>
  <c r="AJ242" i="14"/>
  <c r="AN242" i="14"/>
  <c r="AS242" i="14"/>
  <c r="AL242" i="14"/>
  <c r="AP242" i="14"/>
  <c r="AQ242" i="14"/>
  <c r="AC242" i="14"/>
  <c r="AG242" i="14"/>
  <c r="AK242" i="14"/>
  <c r="AO242" i="14"/>
  <c r="AX199" i="14"/>
  <c r="AW205" i="14"/>
  <c r="AW203" i="14"/>
  <c r="AW201" i="14"/>
  <c r="AW200" i="14"/>
  <c r="AV205" i="14"/>
  <c r="AV204" i="14"/>
  <c r="AV203" i="14"/>
  <c r="AV202" i="14"/>
  <c r="AV201" i="14"/>
  <c r="AV200" i="14"/>
  <c r="AO209" i="14" l="1"/>
  <c r="AN209" i="14"/>
  <c r="AM209" i="14"/>
  <c r="AL209" i="14"/>
  <c r="AP209" i="14"/>
  <c r="AS209" i="14"/>
  <c r="AR209" i="14"/>
  <c r="AQ209" i="14"/>
  <c r="AT209" i="14"/>
  <c r="AJ143" i="14"/>
  <c r="AL143" i="14"/>
  <c r="AK143" i="14"/>
  <c r="AM143" i="14"/>
  <c r="AN143" i="14"/>
  <c r="AO143" i="14"/>
  <c r="AS143" i="14"/>
  <c r="AR143" i="14"/>
  <c r="AQ143" i="14"/>
  <c r="AP143" i="14"/>
  <c r="AT143" i="14"/>
  <c r="AI143" i="14"/>
  <c r="AX138" i="14"/>
  <c r="AZ138" i="14" s="1"/>
  <c r="AX137" i="14"/>
  <c r="AZ137" i="14" s="1"/>
  <c r="AX132" i="14"/>
  <c r="AZ132" i="14" s="1"/>
  <c r="AX127" i="14"/>
  <c r="AZ127" i="14" s="1"/>
  <c r="AW131" i="14"/>
  <c r="AW138" i="14"/>
  <c r="AW137" i="14"/>
  <c r="AW132" i="14"/>
  <c r="AW130" i="14"/>
  <c r="AW127" i="14"/>
  <c r="AV138" i="14"/>
  <c r="AV137" i="14"/>
  <c r="AV132" i="14"/>
  <c r="AV131" i="14"/>
  <c r="AV130" i="14"/>
  <c r="AV127" i="14"/>
  <c r="AW143" i="14" l="1"/>
  <c r="AX143" i="14"/>
  <c r="AT185" i="14" l="1"/>
  <c r="AX88" i="14" l="1"/>
  <c r="AX279" i="14" l="1"/>
  <c r="AZ279" i="14" s="1"/>
  <c r="AX277" i="14"/>
  <c r="AZ277" i="14" s="1"/>
  <c r="AX276" i="14"/>
  <c r="AZ276" i="14" s="1"/>
  <c r="AX270" i="14"/>
  <c r="AZ270" i="14" s="1"/>
  <c r="AX264" i="14"/>
  <c r="AZ264" i="14" s="1"/>
  <c r="AX263" i="14"/>
  <c r="AZ263" i="14" s="1"/>
  <c r="AX249" i="14"/>
  <c r="AZ249" i="14" s="1"/>
  <c r="AX248" i="14"/>
  <c r="AZ248" i="14" s="1"/>
  <c r="AX247" i="14"/>
  <c r="AZ247" i="14" s="1"/>
  <c r="AX218" i="14"/>
  <c r="AZ218" i="14" s="1"/>
  <c r="AZ199" i="14"/>
  <c r="AX198" i="14"/>
  <c r="AZ198" i="14" s="1"/>
  <c r="AX197" i="14"/>
  <c r="AZ197" i="14" s="1"/>
  <c r="AX182" i="14"/>
  <c r="AZ182" i="14" s="1"/>
  <c r="AX181" i="14"/>
  <c r="AZ181" i="14" s="1"/>
  <c r="AX179" i="14"/>
  <c r="AZ179" i="14" s="1"/>
  <c r="AX178" i="14"/>
  <c r="AZ178" i="14" s="1"/>
  <c r="AX177" i="14"/>
  <c r="AZ177" i="14" s="1"/>
  <c r="AX176" i="14"/>
  <c r="AZ176" i="14" s="1"/>
  <c r="AX174" i="14"/>
  <c r="AZ174" i="14" s="1"/>
  <c r="AX173" i="14"/>
  <c r="AZ173" i="14" s="1"/>
  <c r="AX172" i="14"/>
  <c r="AZ172" i="14" s="1"/>
  <c r="AX170" i="14"/>
  <c r="AZ170" i="14" s="1"/>
  <c r="AX169" i="14"/>
  <c r="AZ169" i="14" s="1"/>
  <c r="AX166" i="14"/>
  <c r="AZ166" i="14" s="1"/>
  <c r="AX165" i="14"/>
  <c r="AZ165" i="14" s="1"/>
  <c r="AX164" i="14"/>
  <c r="AZ164" i="14" s="1"/>
  <c r="AX160" i="14"/>
  <c r="AZ160" i="14" s="1"/>
  <c r="AX159" i="14"/>
  <c r="AZ159" i="14" s="1"/>
  <c r="AX158" i="14"/>
  <c r="AZ158" i="14" s="1"/>
  <c r="AX157" i="14"/>
  <c r="AZ157" i="14" s="1"/>
  <c r="AX155" i="14"/>
  <c r="AZ155" i="14" s="1"/>
  <c r="AX152" i="14"/>
  <c r="AZ152" i="14" s="1"/>
  <c r="AX139" i="14"/>
  <c r="AZ139" i="14" s="1"/>
  <c r="AX134" i="14"/>
  <c r="AZ134" i="14" s="1"/>
  <c r="AX133" i="14"/>
  <c r="AZ133" i="14" s="1"/>
  <c r="AX129" i="14"/>
  <c r="AZ129" i="14" s="1"/>
  <c r="AX128" i="14"/>
  <c r="AZ128" i="14" s="1"/>
  <c r="AX126" i="14"/>
  <c r="AZ126" i="14" s="1"/>
  <c r="AX125" i="14"/>
  <c r="AZ125" i="14" s="1"/>
  <c r="AX124" i="14"/>
  <c r="AZ124" i="14" s="1"/>
  <c r="AX105" i="14"/>
  <c r="AZ105" i="14" s="1"/>
  <c r="AX235" i="14"/>
  <c r="AZ235" i="14" s="1"/>
  <c r="AX234" i="14"/>
  <c r="AZ234" i="14" s="1"/>
  <c r="AX102" i="14"/>
  <c r="AZ102" i="14" s="1"/>
  <c r="AX101" i="14"/>
  <c r="AZ101" i="14" s="1"/>
  <c r="AX100" i="14"/>
  <c r="AZ100" i="14" s="1"/>
  <c r="AX99" i="14"/>
  <c r="AZ99" i="14" s="1"/>
  <c r="AX98" i="14"/>
  <c r="AZ98" i="14" s="1"/>
  <c r="AX95" i="14"/>
  <c r="AZ95" i="14" s="1"/>
  <c r="AX94" i="14"/>
  <c r="AZ94" i="14" s="1"/>
  <c r="AX93" i="14"/>
  <c r="AZ93" i="14" s="1"/>
  <c r="AX91" i="14"/>
  <c r="AZ91" i="14" s="1"/>
  <c r="AX90" i="14"/>
  <c r="AZ90" i="14" s="1"/>
  <c r="AX89" i="14"/>
  <c r="AZ89" i="14" s="1"/>
  <c r="AZ88" i="14"/>
  <c r="AX85" i="14"/>
  <c r="AZ85" i="14" s="1"/>
  <c r="AX84" i="14"/>
  <c r="AZ84" i="14" s="1"/>
  <c r="AX78" i="14"/>
  <c r="AZ78" i="14" s="1"/>
  <c r="AX77" i="14"/>
  <c r="AZ77" i="14" s="1"/>
  <c r="AX75" i="14"/>
  <c r="AZ75" i="14" s="1"/>
  <c r="AX74" i="14"/>
  <c r="AZ74" i="14" s="1"/>
  <c r="AX72" i="14"/>
  <c r="AZ72" i="14" s="1"/>
  <c r="AX65" i="14"/>
  <c r="AZ65" i="14" s="1"/>
  <c r="AX64" i="14"/>
  <c r="AZ64" i="14" s="1"/>
  <c r="AX56" i="14"/>
  <c r="AZ56" i="14" s="1"/>
  <c r="AX55" i="14"/>
  <c r="AZ55" i="14" s="1"/>
  <c r="AX54" i="14"/>
  <c r="AZ54" i="14" s="1"/>
  <c r="AX53" i="14"/>
  <c r="AZ53" i="14" s="1"/>
  <c r="AX51" i="14"/>
  <c r="AZ51" i="14" s="1"/>
  <c r="AX50" i="14"/>
  <c r="AZ50" i="14" s="1"/>
  <c r="AX47" i="14"/>
  <c r="AZ47" i="14" s="1"/>
  <c r="AX46" i="14"/>
  <c r="AZ46" i="14" s="1"/>
  <c r="AX45" i="14"/>
  <c r="AZ45" i="14" s="1"/>
  <c r="AX37" i="14"/>
  <c r="AZ37" i="14" s="1"/>
  <c r="AX36" i="14"/>
  <c r="AZ36" i="14" s="1"/>
  <c r="AX35" i="14"/>
  <c r="AZ35" i="14" s="1"/>
  <c r="AX33" i="14"/>
  <c r="AZ33" i="14" s="1"/>
  <c r="AX32" i="14"/>
  <c r="AZ32" i="14" s="1"/>
  <c r="AX31" i="14"/>
  <c r="AZ31" i="14" s="1"/>
  <c r="AX30" i="14"/>
  <c r="AZ30" i="14" s="1"/>
  <c r="AX29" i="14"/>
  <c r="AZ29" i="14" s="1"/>
  <c r="AX28" i="14"/>
  <c r="AZ28" i="14" s="1"/>
  <c r="AX27" i="14"/>
  <c r="AZ27" i="14" s="1"/>
  <c r="AX22" i="14"/>
  <c r="AZ22" i="14" s="1"/>
  <c r="AX18" i="14"/>
  <c r="AZ18" i="14" s="1"/>
  <c r="AX17" i="14"/>
  <c r="AZ17" i="14" s="1"/>
  <c r="AX14" i="14"/>
  <c r="AZ14" i="14" s="1"/>
  <c r="AW279" i="14"/>
  <c r="AW278" i="14"/>
  <c r="AW277" i="14"/>
  <c r="AW276" i="14"/>
  <c r="AW270" i="14"/>
  <c r="AW268" i="14"/>
  <c r="AW264" i="14"/>
  <c r="AW263" i="14"/>
  <c r="AW249" i="14"/>
  <c r="AW248" i="14"/>
  <c r="AW247" i="14"/>
  <c r="AW218" i="14"/>
  <c r="AW199" i="14"/>
  <c r="AW198" i="14"/>
  <c r="AW197" i="14"/>
  <c r="AW196" i="14"/>
  <c r="AW182" i="14"/>
  <c r="AW181" i="14"/>
  <c r="AW179" i="14"/>
  <c r="AW178" i="14"/>
  <c r="AW177" i="14"/>
  <c r="AW176" i="14"/>
  <c r="AW174" i="14"/>
  <c r="AW173" i="14"/>
  <c r="AW172" i="14"/>
  <c r="AW170" i="14"/>
  <c r="AW169" i="14"/>
  <c r="AW166" i="14"/>
  <c r="AW165" i="14"/>
  <c r="AW164" i="14"/>
  <c r="AW163" i="14"/>
  <c r="AW161" i="14"/>
  <c r="AW160" i="14"/>
  <c r="AW159" i="14"/>
  <c r="AW158" i="14"/>
  <c r="AW157" i="14"/>
  <c r="AW155" i="14"/>
  <c r="AW152" i="14"/>
  <c r="AW139" i="14"/>
  <c r="AW134" i="14"/>
  <c r="AW133" i="14"/>
  <c r="AW129" i="14"/>
  <c r="AW128" i="14"/>
  <c r="AW126" i="14"/>
  <c r="AW125" i="14"/>
  <c r="AW124" i="14"/>
  <c r="AW105" i="14"/>
  <c r="AW235" i="14"/>
  <c r="AW234" i="14"/>
  <c r="AW102" i="14"/>
  <c r="AW101" i="14"/>
  <c r="AW100" i="14"/>
  <c r="AW99" i="14"/>
  <c r="AW98" i="14"/>
  <c r="AW97" i="14"/>
  <c r="AW95" i="14"/>
  <c r="AW94" i="14"/>
  <c r="AW93" i="14"/>
  <c r="AW91" i="14"/>
  <c r="AW90" i="14"/>
  <c r="AW89" i="14"/>
  <c r="AW88" i="14"/>
  <c r="AW85" i="14"/>
  <c r="AW84" i="14"/>
  <c r="AW78" i="14"/>
  <c r="AW77" i="14"/>
  <c r="AW75" i="14"/>
  <c r="AW74" i="14"/>
  <c r="AW72" i="14"/>
  <c r="AW71" i="14"/>
  <c r="AW65" i="14"/>
  <c r="AW64" i="14"/>
  <c r="AW61" i="14"/>
  <c r="AW56" i="14"/>
  <c r="AW55" i="14"/>
  <c r="AW54" i="14"/>
  <c r="AW53" i="14"/>
  <c r="AW51" i="14"/>
  <c r="AW50" i="14"/>
  <c r="AW49" i="14"/>
  <c r="AW47" i="14"/>
  <c r="AW46" i="14"/>
  <c r="AW45" i="14"/>
  <c r="AW37" i="14"/>
  <c r="AW36" i="14"/>
  <c r="AW35" i="14"/>
  <c r="AW33" i="14"/>
  <c r="AW32" i="14"/>
  <c r="AW31" i="14"/>
  <c r="AW30" i="14"/>
  <c r="AW29" i="14"/>
  <c r="AW28" i="14"/>
  <c r="AW27" i="14"/>
  <c r="AW22" i="14"/>
  <c r="AW20" i="14"/>
  <c r="AW19" i="14"/>
  <c r="AW18" i="14"/>
  <c r="AW17" i="14"/>
  <c r="AW16" i="14"/>
  <c r="AW15" i="14"/>
  <c r="AW14" i="14"/>
  <c r="AW13" i="14"/>
  <c r="AV279" i="14"/>
  <c r="AV278" i="14"/>
  <c r="AV277" i="14"/>
  <c r="AV276" i="14"/>
  <c r="AV270" i="14"/>
  <c r="AV268" i="14"/>
  <c r="AV266" i="14"/>
  <c r="AV264" i="14"/>
  <c r="AV263" i="14"/>
  <c r="AV249" i="14"/>
  <c r="AV248" i="14"/>
  <c r="AV247" i="14"/>
  <c r="AV232" i="14"/>
  <c r="AV231" i="14"/>
  <c r="AV218" i="14"/>
  <c r="AV199" i="14"/>
  <c r="AV198" i="14"/>
  <c r="AV197" i="14"/>
  <c r="AV196" i="14"/>
  <c r="AV182" i="14"/>
  <c r="AV181" i="14"/>
  <c r="AV179" i="14"/>
  <c r="AV178" i="14"/>
  <c r="AV177" i="14"/>
  <c r="AV176" i="14"/>
  <c r="AV175" i="14"/>
  <c r="AV174" i="14"/>
  <c r="AV173" i="14"/>
  <c r="AV172" i="14"/>
  <c r="AV171" i="14"/>
  <c r="AV170" i="14"/>
  <c r="AV169" i="14"/>
  <c r="AV168" i="14"/>
  <c r="AV166" i="14"/>
  <c r="AV165" i="14"/>
  <c r="AV164" i="14"/>
  <c r="AV163" i="14"/>
  <c r="AV161" i="14"/>
  <c r="AV160" i="14"/>
  <c r="AV159" i="14"/>
  <c r="AV158" i="14"/>
  <c r="AV157" i="14"/>
  <c r="AV155" i="14"/>
  <c r="AV153" i="14"/>
  <c r="AV152" i="14"/>
  <c r="AV139" i="14"/>
  <c r="AV136" i="14"/>
  <c r="AV134" i="14"/>
  <c r="AV133" i="14"/>
  <c r="AV129" i="14"/>
  <c r="AV128" i="14"/>
  <c r="AV126" i="14"/>
  <c r="AV125" i="14"/>
  <c r="AV124" i="14"/>
  <c r="AV105" i="14"/>
  <c r="AV235" i="14"/>
  <c r="AV234" i="14"/>
  <c r="AV103" i="14"/>
  <c r="AV102" i="14"/>
  <c r="AV101" i="14"/>
  <c r="AV100" i="14"/>
  <c r="AV99" i="14"/>
  <c r="AV98" i="14"/>
  <c r="AV97" i="14"/>
  <c r="AV95" i="14"/>
  <c r="AV94" i="14"/>
  <c r="AV93" i="14"/>
  <c r="AV91" i="14"/>
  <c r="AV90" i="14"/>
  <c r="AV89" i="14"/>
  <c r="AV88" i="14"/>
  <c r="AV85" i="14"/>
  <c r="AV84" i="14"/>
  <c r="AV82" i="14"/>
  <c r="AV81" i="14"/>
  <c r="AV80" i="14"/>
  <c r="AV78" i="14"/>
  <c r="AV77" i="14"/>
  <c r="AV76" i="14"/>
  <c r="AV75" i="14"/>
  <c r="AV74" i="14"/>
  <c r="AV72" i="14"/>
  <c r="AV71" i="14"/>
  <c r="AV69" i="14"/>
  <c r="AV65" i="14"/>
  <c r="AV64" i="14"/>
  <c r="AV61" i="14"/>
  <c r="AV56" i="14"/>
  <c r="AV55" i="14"/>
  <c r="AV54" i="14"/>
  <c r="AV53" i="14"/>
  <c r="AV51" i="14"/>
  <c r="AV50" i="14"/>
  <c r="AV49" i="14"/>
  <c r="AV47" i="14"/>
  <c r="AV46" i="14"/>
  <c r="AV45" i="14"/>
  <c r="AV43" i="14"/>
  <c r="AV42" i="14"/>
  <c r="AV40" i="14"/>
  <c r="AV39" i="14"/>
  <c r="AV37" i="14"/>
  <c r="AV36" i="14"/>
  <c r="AV35" i="14"/>
  <c r="AV33" i="14"/>
  <c r="AV32" i="14"/>
  <c r="AV31" i="14"/>
  <c r="AV30" i="14"/>
  <c r="AV29" i="14"/>
  <c r="AV28" i="14"/>
  <c r="AV27" i="14"/>
  <c r="AV25" i="14"/>
  <c r="AV24" i="14"/>
  <c r="AV22" i="14"/>
  <c r="AV20" i="14"/>
  <c r="AV19" i="14"/>
  <c r="AV18" i="14"/>
  <c r="AV17" i="14"/>
  <c r="AV16" i="14"/>
  <c r="AV15" i="14"/>
  <c r="AV14" i="14"/>
  <c r="AX13" i="14" l="1"/>
  <c r="AZ13" i="14" s="1"/>
  <c r="AV13" i="14"/>
  <c r="AT141" i="14" l="1"/>
  <c r="AT184" i="14" l="1"/>
  <c r="AT283" i="14" l="1"/>
  <c r="AT282" i="14"/>
  <c r="AT281" i="14"/>
  <c r="AT251" i="14"/>
  <c r="AT238" i="14"/>
  <c r="AT222" i="14"/>
  <c r="AT211" i="14"/>
  <c r="AT210" i="14"/>
  <c r="AT208" i="14"/>
  <c r="AT188" i="14"/>
  <c r="AT187" i="14"/>
  <c r="AT295" i="14" s="1"/>
  <c r="AT186" i="14"/>
  <c r="AT145" i="14"/>
  <c r="AT144" i="14"/>
  <c r="AT142" i="14"/>
  <c r="AT294" i="14" l="1"/>
  <c r="AT226" i="14"/>
  <c r="AT242" i="14"/>
  <c r="AT290" i="14"/>
  <c r="AT147" i="14"/>
  <c r="AT285" i="14"/>
  <c r="AT296" i="14"/>
  <c r="AT213" i="14"/>
  <c r="AT190" i="14"/>
  <c r="AT291" i="14"/>
  <c r="AT293" i="14"/>
  <c r="AT298" i="14" l="1"/>
  <c r="AS184" i="14" l="1"/>
  <c r="AX136" i="14" l="1"/>
  <c r="AZ136" i="14" s="1"/>
  <c r="AN282" i="14"/>
  <c r="AO282" i="14"/>
  <c r="AP282" i="14"/>
  <c r="AQ282" i="14"/>
  <c r="AR282" i="14"/>
  <c r="AV113" i="14" l="1"/>
  <c r="AS282" i="14"/>
  <c r="AV282" i="14" s="1"/>
  <c r="AW282" i="14" l="1"/>
  <c r="AS283" i="14" l="1"/>
  <c r="AR283" i="14"/>
  <c r="AQ283" i="14"/>
  <c r="AP283" i="14"/>
  <c r="AO283" i="14"/>
  <c r="AN283" i="14"/>
  <c r="AM283" i="14"/>
  <c r="AL283" i="14"/>
  <c r="AK283" i="14"/>
  <c r="AJ283" i="14"/>
  <c r="AM282" i="14"/>
  <c r="AL282" i="14"/>
  <c r="AK282" i="14"/>
  <c r="AJ282" i="14"/>
  <c r="AI282" i="14"/>
  <c r="AS208" i="14"/>
  <c r="AR208" i="14"/>
  <c r="AQ208" i="14"/>
  <c r="AP208" i="14"/>
  <c r="AN208" i="14"/>
  <c r="AM208" i="14"/>
  <c r="AL208" i="14"/>
  <c r="AK208" i="14"/>
  <c r="AJ208" i="14"/>
  <c r="AS281" i="14"/>
  <c r="AS251" i="14"/>
  <c r="AS222" i="14"/>
  <c r="AS293" i="14" s="1"/>
  <c r="AS211" i="14"/>
  <c r="AS210" i="14"/>
  <c r="AS188" i="14"/>
  <c r="AS187" i="14"/>
  <c r="AS295" i="14" s="1"/>
  <c r="AS186" i="14"/>
  <c r="AS185" i="14"/>
  <c r="AS292" i="14" s="1"/>
  <c r="AS145" i="14"/>
  <c r="AS144" i="14"/>
  <c r="AS142" i="14"/>
  <c r="AS141" i="14"/>
  <c r="AS290" i="14" s="1"/>
  <c r="AS294" i="14" l="1"/>
  <c r="AS291" i="14"/>
  <c r="AS296" i="14"/>
  <c r="AV208" i="14"/>
  <c r="AX282" i="14"/>
  <c r="AZ282" i="14" s="1"/>
  <c r="AV283" i="14"/>
  <c r="AX283" i="14"/>
  <c r="AZ283" i="14" s="1"/>
  <c r="AW208" i="14"/>
  <c r="AW283" i="14"/>
  <c r="AS190" i="14"/>
  <c r="AS147" i="14"/>
  <c r="AS285" i="14"/>
  <c r="AS213" i="14"/>
  <c r="AS226" i="14"/>
  <c r="AV116" i="14"/>
  <c r="AS298" i="14" l="1"/>
  <c r="AV114" i="14"/>
  <c r="AR141" i="14" l="1"/>
  <c r="AQ141" i="14"/>
  <c r="AQ290" i="14" s="1"/>
  <c r="AQ185" i="14"/>
  <c r="AQ292" i="14" s="1"/>
  <c r="AR185" i="14"/>
  <c r="AR292" i="14" s="1"/>
  <c r="AP185" i="14"/>
  <c r="AP292" i="14" s="1"/>
  <c r="AO185" i="14"/>
  <c r="AO292" i="14" s="1"/>
  <c r="AN185" i="14"/>
  <c r="AN292" i="14" s="1"/>
  <c r="AM185" i="14"/>
  <c r="AM292" i="14" s="1"/>
  <c r="AL185" i="14"/>
  <c r="AL292" i="14" s="1"/>
  <c r="AK185" i="14"/>
  <c r="AJ185" i="14"/>
  <c r="AV141" i="14" l="1"/>
  <c r="AR290" i="14"/>
  <c r="AW185" i="14"/>
  <c r="AV185" i="14"/>
  <c r="AX185" i="14"/>
  <c r="AZ185" i="14" s="1"/>
  <c r="AV290" i="14" l="1"/>
  <c r="AR281" i="14" l="1"/>
  <c r="AR251" i="14"/>
  <c r="AR222" i="14"/>
  <c r="AR211" i="14"/>
  <c r="AR210" i="14"/>
  <c r="AV210" i="14" s="1"/>
  <c r="AR188" i="14"/>
  <c r="AR187" i="14"/>
  <c r="AR186" i="14"/>
  <c r="AR184" i="14"/>
  <c r="AR145" i="14"/>
  <c r="AR144" i="14"/>
  <c r="AR142" i="14"/>
  <c r="AV115" i="14"/>
  <c r="AR294" i="14" l="1"/>
  <c r="AV294" i="14" s="1"/>
  <c r="AV222" i="14"/>
  <c r="AR293" i="14"/>
  <c r="AR296" i="14"/>
  <c r="AV296" i="14" s="1"/>
  <c r="AV142" i="14"/>
  <c r="AR291" i="14"/>
  <c r="AV291" i="14" s="1"/>
  <c r="AV187" i="14"/>
  <c r="AR295" i="14"/>
  <c r="AV117" i="14"/>
  <c r="AV145" i="14"/>
  <c r="AV188" i="14"/>
  <c r="AV281" i="14"/>
  <c r="AV184" i="14"/>
  <c r="AV209" i="14"/>
  <c r="AV238" i="14"/>
  <c r="AV143" i="14"/>
  <c r="AV186" i="14"/>
  <c r="AV240" i="14"/>
  <c r="AV144" i="14"/>
  <c r="AV211" i="14"/>
  <c r="AV251" i="14"/>
  <c r="AV292" i="14"/>
  <c r="AR147" i="14"/>
  <c r="AR285" i="14"/>
  <c r="AR213" i="14"/>
  <c r="AV213" i="14" s="1"/>
  <c r="AR190" i="14"/>
  <c r="AR226" i="14"/>
  <c r="AV226" i="14" s="1"/>
  <c r="AR298" i="14" l="1"/>
  <c r="AV285" i="14"/>
  <c r="AV147" i="14"/>
  <c r="AV119" i="14"/>
  <c r="AV295" i="14"/>
  <c r="AV190" i="14"/>
  <c r="AV242" i="14"/>
  <c r="AV293" i="14"/>
  <c r="AV298" i="14" l="1"/>
  <c r="AQ281" i="14" l="1"/>
  <c r="AQ251" i="14"/>
  <c r="AQ222" i="14"/>
  <c r="AQ293" i="14" s="1"/>
  <c r="AQ211" i="14"/>
  <c r="AQ210" i="14"/>
  <c r="AQ188" i="14"/>
  <c r="AQ187" i="14"/>
  <c r="AQ295" i="14" s="1"/>
  <c r="AQ186" i="14"/>
  <c r="AQ184" i="14"/>
  <c r="AQ145" i="14"/>
  <c r="AQ144" i="14"/>
  <c r="AQ142" i="14"/>
  <c r="AQ294" i="14" l="1"/>
  <c r="AQ291" i="14"/>
  <c r="AQ296" i="14"/>
  <c r="AQ147" i="14"/>
  <c r="AQ226" i="14"/>
  <c r="AQ285" i="14"/>
  <c r="AQ213" i="14"/>
  <c r="AQ190" i="14"/>
  <c r="AQ298" i="14" l="1"/>
  <c r="AP142" i="14"/>
  <c r="AW142" i="14" s="1"/>
  <c r="AW114" i="14" l="1"/>
  <c r="AW113" i="14"/>
  <c r="AP290" i="14"/>
  <c r="AW290" i="14" s="1"/>
  <c r="AP281" i="14" l="1"/>
  <c r="AW281" i="14" s="1"/>
  <c r="AP251" i="14"/>
  <c r="AW251" i="14" s="1"/>
  <c r="AP224" i="14"/>
  <c r="AP222" i="14"/>
  <c r="AP211" i="14"/>
  <c r="AW211" i="14" s="1"/>
  <c r="AP210" i="14"/>
  <c r="AW210" i="14" s="1"/>
  <c r="AW209" i="14"/>
  <c r="AP188" i="14"/>
  <c r="AW188" i="14" s="1"/>
  <c r="AP187" i="14"/>
  <c r="AP186" i="14"/>
  <c r="AW186" i="14" s="1"/>
  <c r="AP184" i="14"/>
  <c r="AP145" i="14"/>
  <c r="AP144" i="14"/>
  <c r="AW145" i="14" l="1"/>
  <c r="AP296" i="14"/>
  <c r="AW296" i="14" s="1"/>
  <c r="AW144" i="14"/>
  <c r="AP294" i="14"/>
  <c r="AW294" i="14" s="1"/>
  <c r="AW115" i="14"/>
  <c r="AW292" i="14"/>
  <c r="AW116" i="14"/>
  <c r="AW184" i="14"/>
  <c r="AP291" i="14"/>
  <c r="AW291" i="14" s="1"/>
  <c r="AW117" i="14"/>
  <c r="AW222" i="14"/>
  <c r="AP293" i="14"/>
  <c r="AW293" i="14" s="1"/>
  <c r="AW187" i="14"/>
  <c r="AP295" i="14"/>
  <c r="AW295" i="14" s="1"/>
  <c r="AP213" i="14"/>
  <c r="AW213" i="14" s="1"/>
  <c r="AP285" i="14"/>
  <c r="AW285" i="14" s="1"/>
  <c r="AP226" i="14"/>
  <c r="AW226" i="14" s="1"/>
  <c r="AP190" i="14"/>
  <c r="AW190" i="14" s="1"/>
  <c r="AP147" i="14"/>
  <c r="AW147" i="14" s="1"/>
  <c r="AW119" i="14"/>
  <c r="AP298" i="14" l="1"/>
  <c r="AW298" i="14" s="1"/>
  <c r="AO290" i="14"/>
  <c r="AN290" i="14" l="1"/>
  <c r="AN186" i="14"/>
  <c r="AO196" i="14"/>
  <c r="AX196" i="14" s="1"/>
  <c r="AZ196" i="14" s="1"/>
  <c r="AO186" i="14"/>
  <c r="AO281" i="14"/>
  <c r="AO251" i="14"/>
  <c r="AO224" i="14"/>
  <c r="AO223" i="14"/>
  <c r="AO222" i="14"/>
  <c r="AO293" i="14" s="1"/>
  <c r="AO211" i="14"/>
  <c r="AO210" i="14"/>
  <c r="AO188" i="14"/>
  <c r="AO187" i="14"/>
  <c r="AO295" i="14" s="1"/>
  <c r="AO184" i="14"/>
  <c r="AO145" i="14"/>
  <c r="AO144" i="14"/>
  <c r="AO294" i="14" s="1"/>
  <c r="AO142" i="14"/>
  <c r="AF187" i="14"/>
  <c r="AF295" i="14" s="1"/>
  <c r="AG187" i="14"/>
  <c r="AG295" i="14" s="1"/>
  <c r="AN281" i="14"/>
  <c r="AN251" i="14"/>
  <c r="AN224" i="14"/>
  <c r="AN223" i="14"/>
  <c r="AN222" i="14"/>
  <c r="AN293" i="14" s="1"/>
  <c r="AN211" i="14"/>
  <c r="AN210" i="14"/>
  <c r="AN188" i="14"/>
  <c r="AN187" i="14"/>
  <c r="AN295" i="14" s="1"/>
  <c r="AN184" i="14"/>
  <c r="AN145" i="14"/>
  <c r="AN144" i="14"/>
  <c r="AN142" i="14"/>
  <c r="AM211" i="14"/>
  <c r="AM281" i="14"/>
  <c r="AM251" i="14"/>
  <c r="AM224" i="14"/>
  <c r="AM223" i="14"/>
  <c r="AM222" i="14"/>
  <c r="AM293" i="14" s="1"/>
  <c r="AM210" i="14"/>
  <c r="AM188" i="14"/>
  <c r="AM187" i="14"/>
  <c r="AM295" i="14" s="1"/>
  <c r="AM186" i="14"/>
  <c r="AM184" i="14"/>
  <c r="AM145" i="14"/>
  <c r="AM144" i="14"/>
  <c r="AM142" i="14"/>
  <c r="AL281" i="14"/>
  <c r="AL251" i="14"/>
  <c r="AL224" i="14"/>
  <c r="AL223" i="14"/>
  <c r="AL222" i="14"/>
  <c r="AL293" i="14" s="1"/>
  <c r="AL211" i="14"/>
  <c r="AL210" i="14"/>
  <c r="AL188" i="14"/>
  <c r="AL187" i="14"/>
  <c r="AL295" i="14" s="1"/>
  <c r="AL186" i="14"/>
  <c r="AL184" i="14"/>
  <c r="AL145" i="14"/>
  <c r="AL144" i="14"/>
  <c r="AL142" i="14"/>
  <c r="AK211" i="14"/>
  <c r="AK210" i="14"/>
  <c r="AK209" i="14"/>
  <c r="AK292" i="14" s="1"/>
  <c r="AK281" i="14"/>
  <c r="AK251" i="14"/>
  <c r="AK224" i="14"/>
  <c r="AK223" i="14"/>
  <c r="AK222" i="14"/>
  <c r="AK293" i="14" s="1"/>
  <c r="AK188" i="14"/>
  <c r="AK187" i="14"/>
  <c r="AK295" i="14" s="1"/>
  <c r="AK186" i="14"/>
  <c r="AK184" i="14"/>
  <c r="AK145" i="14"/>
  <c r="AK144" i="14"/>
  <c r="AK142" i="14"/>
  <c r="AI185" i="14"/>
  <c r="AJ281" i="14"/>
  <c r="AJ251" i="14"/>
  <c r="AJ222" i="14"/>
  <c r="AJ293" i="14" s="1"/>
  <c r="AJ223" i="14"/>
  <c r="AJ224" i="14"/>
  <c r="AJ209" i="14"/>
  <c r="AJ292" i="14" s="1"/>
  <c r="AJ210" i="14"/>
  <c r="AJ211" i="14"/>
  <c r="AJ184" i="14"/>
  <c r="AJ186" i="14"/>
  <c r="AJ187" i="14"/>
  <c r="AJ295" i="14" s="1"/>
  <c r="AJ188" i="14"/>
  <c r="AJ142" i="14"/>
  <c r="AJ144" i="14"/>
  <c r="AJ145" i="14"/>
  <c r="AI145" i="14"/>
  <c r="AI188" i="14"/>
  <c r="AI211" i="14"/>
  <c r="AI224" i="14"/>
  <c r="Y29" i="14"/>
  <c r="Y37" i="14"/>
  <c r="Y100" i="14"/>
  <c r="Y188" i="14"/>
  <c r="Y211" i="14"/>
  <c r="Y224" i="14"/>
  <c r="Z29" i="14"/>
  <c r="Z100" i="14"/>
  <c r="Z188" i="14"/>
  <c r="Z211" i="14"/>
  <c r="Z224" i="14"/>
  <c r="AA29" i="14"/>
  <c r="AA37" i="14"/>
  <c r="AA188" i="14"/>
  <c r="AA211" i="14"/>
  <c r="AA224" i="14"/>
  <c r="AB188" i="14"/>
  <c r="AB211" i="14"/>
  <c r="AB224" i="14"/>
  <c r="AC145" i="14"/>
  <c r="AC188" i="14"/>
  <c r="AC211" i="14"/>
  <c r="AC224" i="14"/>
  <c r="AD145" i="14"/>
  <c r="AD188" i="14"/>
  <c r="AD211" i="14"/>
  <c r="AD224" i="14"/>
  <c r="AE145" i="14"/>
  <c r="AE188" i="14"/>
  <c r="AE211" i="14"/>
  <c r="AE224" i="14"/>
  <c r="AF145" i="14"/>
  <c r="AF188" i="14"/>
  <c r="AF211" i="14"/>
  <c r="AF224" i="14"/>
  <c r="AG145" i="14"/>
  <c r="AG188" i="14"/>
  <c r="AG211" i="14"/>
  <c r="AG224" i="14"/>
  <c r="AH145" i="14"/>
  <c r="AH188" i="14"/>
  <c r="AH211" i="14"/>
  <c r="AH224" i="14"/>
  <c r="AI187" i="14"/>
  <c r="AI295" i="14" s="1"/>
  <c r="AH187" i="14"/>
  <c r="AH295" i="14" s="1"/>
  <c r="AI144" i="14"/>
  <c r="AI186" i="14"/>
  <c r="AI210" i="14"/>
  <c r="AI223" i="14"/>
  <c r="AI283" i="14"/>
  <c r="Y28" i="14"/>
  <c r="Y36" i="14"/>
  <c r="Y125" i="14"/>
  <c r="Y144" i="14" s="1"/>
  <c r="Y158" i="14"/>
  <c r="Y174" i="14"/>
  <c r="Y178" i="14"/>
  <c r="Y181" i="14"/>
  <c r="Y210" i="14"/>
  <c r="Y223" i="14"/>
  <c r="Y283" i="14"/>
  <c r="Z28" i="14"/>
  <c r="Z116" i="14" s="1"/>
  <c r="Z125" i="14"/>
  <c r="Z144" i="14" s="1"/>
  <c r="Z174" i="14"/>
  <c r="Z178" i="14"/>
  <c r="Z181" i="14"/>
  <c r="Z210" i="14"/>
  <c r="Z223" i="14"/>
  <c r="Z283" i="14"/>
  <c r="AA28" i="14"/>
  <c r="AA36" i="14"/>
  <c r="AA144" i="14"/>
  <c r="AA174" i="14"/>
  <c r="AA178" i="14"/>
  <c r="AA181" i="14"/>
  <c r="AA210" i="14"/>
  <c r="AA223" i="14"/>
  <c r="AA283" i="14"/>
  <c r="AB144" i="14"/>
  <c r="AB155" i="14"/>
  <c r="AB158" i="14"/>
  <c r="AB174" i="14"/>
  <c r="AB178" i="14"/>
  <c r="AB181" i="14"/>
  <c r="AB210" i="14"/>
  <c r="AB223" i="14"/>
  <c r="AB273" i="14"/>
  <c r="AB283" i="14" s="1"/>
  <c r="AC144" i="14"/>
  <c r="AC155" i="14"/>
  <c r="AC158" i="14"/>
  <c r="AC174" i="14"/>
  <c r="AC178" i="14"/>
  <c r="AC181" i="14"/>
  <c r="AC210" i="14"/>
  <c r="AC223" i="14"/>
  <c r="AC283" i="14"/>
  <c r="AD128" i="14"/>
  <c r="AD144" i="14" s="1"/>
  <c r="AD155" i="14"/>
  <c r="AD158" i="14"/>
  <c r="AD174" i="14"/>
  <c r="AD178" i="14"/>
  <c r="AD181" i="14"/>
  <c r="AD210" i="14"/>
  <c r="AD223" i="14"/>
  <c r="AD283" i="14"/>
  <c r="AE144" i="14"/>
  <c r="AE186" i="14"/>
  <c r="AE210" i="14"/>
  <c r="AE223" i="14"/>
  <c r="AE283" i="14"/>
  <c r="AF144" i="14"/>
  <c r="AF186" i="14"/>
  <c r="AF210" i="14"/>
  <c r="AF223" i="14"/>
  <c r="AF283" i="14"/>
  <c r="AG144" i="14"/>
  <c r="AG186" i="14"/>
  <c r="AG210" i="14"/>
  <c r="AG223" i="14"/>
  <c r="AG283" i="14"/>
  <c r="AH144" i="14"/>
  <c r="AH186" i="14"/>
  <c r="AH210" i="14"/>
  <c r="AH223" i="14"/>
  <c r="AH283" i="14"/>
  <c r="AI222" i="14"/>
  <c r="AI293" i="14" s="1"/>
  <c r="Y222" i="14"/>
  <c r="Y293" i="14" s="1"/>
  <c r="Z222" i="14"/>
  <c r="Z293" i="14" s="1"/>
  <c r="AA222" i="14"/>
  <c r="AA293" i="14" s="1"/>
  <c r="AB222" i="14"/>
  <c r="AB293" i="14" s="1"/>
  <c r="AC222" i="14"/>
  <c r="AC293" i="14" s="1"/>
  <c r="AD222" i="14"/>
  <c r="AD293" i="14" s="1"/>
  <c r="AE222" i="14"/>
  <c r="AE293" i="14" s="1"/>
  <c r="AF222" i="14"/>
  <c r="AF293" i="14" s="1"/>
  <c r="AG222" i="14"/>
  <c r="AG293" i="14" s="1"/>
  <c r="AH222" i="14"/>
  <c r="AH293" i="14" s="1"/>
  <c r="AI209" i="14"/>
  <c r="Y139" i="14"/>
  <c r="Y143" i="14" s="1"/>
  <c r="Y282" i="14"/>
  <c r="Z143" i="14"/>
  <c r="Z282" i="14"/>
  <c r="AA139" i="14"/>
  <c r="AA143" i="14" s="1"/>
  <c r="AA282" i="14"/>
  <c r="AB139" i="14"/>
  <c r="AB143" i="14" s="1"/>
  <c r="AB282" i="14"/>
  <c r="AC143" i="14"/>
  <c r="AC282" i="14"/>
  <c r="AD143" i="14"/>
  <c r="AD282" i="14"/>
  <c r="AE143" i="14"/>
  <c r="AE185" i="14"/>
  <c r="AE282" i="14"/>
  <c r="AF143" i="14"/>
  <c r="AF185" i="14"/>
  <c r="AF282" i="14"/>
  <c r="AG143" i="14"/>
  <c r="AG185" i="14"/>
  <c r="AG282" i="14"/>
  <c r="AH143" i="14"/>
  <c r="AH185" i="14"/>
  <c r="AH282" i="14"/>
  <c r="AI142" i="14"/>
  <c r="AI184" i="14"/>
  <c r="AI208" i="14"/>
  <c r="AI251" i="14"/>
  <c r="AI281" i="14"/>
  <c r="Y25" i="14"/>
  <c r="Y27" i="14"/>
  <c r="Y35" i="14"/>
  <c r="Y50" i="14"/>
  <c r="Y77" i="14"/>
  <c r="Y93" i="14"/>
  <c r="Y105" i="14"/>
  <c r="Y126" i="14"/>
  <c r="Y142" i="14" s="1"/>
  <c r="Y173" i="14"/>
  <c r="Y176" i="14"/>
  <c r="Y177" i="14"/>
  <c r="Y208" i="14"/>
  <c r="Y251" i="14"/>
  <c r="Y258" i="14"/>
  <c r="Z25" i="14"/>
  <c r="Z27" i="14"/>
  <c r="Z35" i="14"/>
  <c r="Z50" i="14"/>
  <c r="Z77" i="14"/>
  <c r="Z88" i="14"/>
  <c r="Z93" i="14"/>
  <c r="Z105" i="14"/>
  <c r="Z126" i="14"/>
  <c r="Z142" i="14" s="1"/>
  <c r="Z173" i="14"/>
  <c r="Z176" i="14"/>
  <c r="Z177" i="14"/>
  <c r="Z180" i="14"/>
  <c r="Z208" i="14"/>
  <c r="Z248" i="14"/>
  <c r="Z251" i="14" s="1"/>
  <c r="Z258" i="14"/>
  <c r="AA25" i="14"/>
  <c r="AA77" i="14"/>
  <c r="AA91" i="14"/>
  <c r="AA231" i="14"/>
  <c r="AA238" i="14" s="1"/>
  <c r="AA242" i="14" s="1"/>
  <c r="AA142" i="14"/>
  <c r="AA173" i="14"/>
  <c r="AA184" i="14" s="1"/>
  <c r="AA208" i="14"/>
  <c r="AA251" i="14"/>
  <c r="AA258" i="14"/>
  <c r="AB25" i="14"/>
  <c r="AB77" i="14"/>
  <c r="AB91" i="14"/>
  <c r="AB142" i="14"/>
  <c r="AB170" i="14"/>
  <c r="AB173" i="14"/>
  <c r="AB176" i="14"/>
  <c r="AB177" i="14"/>
  <c r="AB180" i="14"/>
  <c r="AB208" i="14"/>
  <c r="AB251" i="14"/>
  <c r="AB258" i="14"/>
  <c r="AC77" i="14"/>
  <c r="AC114" i="14" s="1"/>
  <c r="AC142" i="14"/>
  <c r="AC170" i="14"/>
  <c r="AC173" i="14"/>
  <c r="AC176" i="14"/>
  <c r="AC177" i="14"/>
  <c r="AC180" i="14"/>
  <c r="AC208" i="14"/>
  <c r="AC251" i="14"/>
  <c r="AC258" i="14"/>
  <c r="AD77" i="14"/>
  <c r="AD114" i="14" s="1"/>
  <c r="AD126" i="14"/>
  <c r="AD142" i="14" s="1"/>
  <c r="AD170" i="14"/>
  <c r="AD173" i="14"/>
  <c r="AD176" i="14"/>
  <c r="AD177" i="14"/>
  <c r="AD180" i="14"/>
  <c r="AD208" i="14"/>
  <c r="AD251" i="14"/>
  <c r="AD258" i="14"/>
  <c r="AE74" i="14"/>
  <c r="AE114" i="14" s="1"/>
  <c r="AE142" i="14"/>
  <c r="AE184" i="14"/>
  <c r="AE208" i="14"/>
  <c r="AE251" i="14"/>
  <c r="AE258" i="14"/>
  <c r="AF142" i="14"/>
  <c r="AF184" i="14"/>
  <c r="AF208" i="14"/>
  <c r="AF251" i="14"/>
  <c r="AF258" i="14"/>
  <c r="AG142" i="14"/>
  <c r="AG184" i="14"/>
  <c r="AG208" i="14"/>
  <c r="AG251" i="14"/>
  <c r="AG281" i="14"/>
  <c r="AH142" i="14"/>
  <c r="AH184" i="14"/>
  <c r="AH208" i="14"/>
  <c r="AH251" i="14"/>
  <c r="AH281" i="14"/>
  <c r="AV12" i="14"/>
  <c r="AW12" i="14"/>
  <c r="S27" i="14"/>
  <c r="X27" i="14"/>
  <c r="S28" i="14"/>
  <c r="X28" i="14"/>
  <c r="X116" i="14" s="1"/>
  <c r="X29" i="14"/>
  <c r="X117" i="14" s="1"/>
  <c r="S35" i="14"/>
  <c r="X35" i="14"/>
  <c r="S37" i="14"/>
  <c r="S117" i="14" s="1"/>
  <c r="Q39" i="14"/>
  <c r="R39" i="14"/>
  <c r="S39" i="14"/>
  <c r="S45" i="14"/>
  <c r="S46" i="14"/>
  <c r="S50" i="14"/>
  <c r="X50" i="14"/>
  <c r="S55" i="14"/>
  <c r="E77" i="14"/>
  <c r="E114" i="14" s="1"/>
  <c r="F77" i="14"/>
  <c r="F114" i="14" s="1"/>
  <c r="G77" i="14"/>
  <c r="G114" i="14" s="1"/>
  <c r="H77" i="14"/>
  <c r="H114" i="14" s="1"/>
  <c r="I77" i="14"/>
  <c r="I114" i="14" s="1"/>
  <c r="J77" i="14"/>
  <c r="J114" i="14" s="1"/>
  <c r="K77" i="14"/>
  <c r="K114" i="14" s="1"/>
  <c r="L77" i="14"/>
  <c r="L114" i="14" s="1"/>
  <c r="M77" i="14"/>
  <c r="M114" i="14" s="1"/>
  <c r="N77" i="14"/>
  <c r="N114" i="14" s="1"/>
  <c r="O77" i="14"/>
  <c r="O114" i="14" s="1"/>
  <c r="P77" i="14"/>
  <c r="P114" i="14" s="1"/>
  <c r="Q77" i="14"/>
  <c r="R77" i="14"/>
  <c r="S77" i="14"/>
  <c r="T77" i="14"/>
  <c r="T114" i="14" s="1"/>
  <c r="U77" i="14"/>
  <c r="U114" i="14" s="1"/>
  <c r="V77" i="14"/>
  <c r="V114" i="14" s="1"/>
  <c r="W77" i="14"/>
  <c r="W114" i="14" s="1"/>
  <c r="X77" i="14"/>
  <c r="S93" i="14"/>
  <c r="X93" i="14"/>
  <c r="W231" i="14"/>
  <c r="W238" i="14" s="1"/>
  <c r="W242" i="14" s="1"/>
  <c r="S105" i="14"/>
  <c r="S126" i="14"/>
  <c r="S142" i="14" s="1"/>
  <c r="X126" i="14"/>
  <c r="X142" i="14" s="1"/>
  <c r="S128" i="14"/>
  <c r="S144" i="14" s="1"/>
  <c r="X139" i="14"/>
  <c r="X143" i="14" s="1"/>
  <c r="E142" i="14"/>
  <c r="F142" i="14"/>
  <c r="G142" i="14"/>
  <c r="H142" i="14"/>
  <c r="I142" i="14"/>
  <c r="J142" i="14"/>
  <c r="K142" i="14"/>
  <c r="L142" i="14"/>
  <c r="M142" i="14"/>
  <c r="N142" i="14"/>
  <c r="O142" i="14"/>
  <c r="P142" i="14"/>
  <c r="Q142" i="14"/>
  <c r="R142" i="14"/>
  <c r="T142" i="14"/>
  <c r="U142" i="14"/>
  <c r="V142" i="14"/>
  <c r="W142" i="14"/>
  <c r="W143" i="14"/>
  <c r="E144" i="14"/>
  <c r="F144" i="14"/>
  <c r="G144" i="14"/>
  <c r="H144" i="14"/>
  <c r="I144" i="14"/>
  <c r="J144" i="14"/>
  <c r="K144" i="14"/>
  <c r="L144" i="14"/>
  <c r="M144" i="14"/>
  <c r="N144" i="14"/>
  <c r="O144" i="14"/>
  <c r="P144" i="14"/>
  <c r="Q144" i="14"/>
  <c r="R144" i="14"/>
  <c r="T144" i="14"/>
  <c r="U144" i="14"/>
  <c r="V144" i="14"/>
  <c r="W144" i="14"/>
  <c r="X144" i="14"/>
  <c r="E147" i="14"/>
  <c r="F147" i="14"/>
  <c r="G147" i="14"/>
  <c r="H147" i="14"/>
  <c r="AV151" i="14"/>
  <c r="AW151" i="14"/>
  <c r="AX151" i="14"/>
  <c r="X173" i="14"/>
  <c r="S174" i="14"/>
  <c r="X174" i="14"/>
  <c r="W176" i="14"/>
  <c r="W184" i="14" s="1"/>
  <c r="X176" i="14"/>
  <c r="S177" i="14"/>
  <c r="S184" i="14" s="1"/>
  <c r="X177" i="14"/>
  <c r="S178" i="14"/>
  <c r="X178" i="14"/>
  <c r="S181" i="14"/>
  <c r="X181" i="14"/>
  <c r="E184" i="14"/>
  <c r="F184" i="14"/>
  <c r="G184" i="14"/>
  <c r="H184" i="14"/>
  <c r="I184" i="14"/>
  <c r="J184" i="14"/>
  <c r="K184" i="14"/>
  <c r="L184" i="14"/>
  <c r="M184" i="14"/>
  <c r="N184" i="14"/>
  <c r="O184" i="14"/>
  <c r="P184" i="14"/>
  <c r="Q184" i="14"/>
  <c r="R184" i="14"/>
  <c r="T184" i="14"/>
  <c r="U184" i="14"/>
  <c r="V184" i="14"/>
  <c r="E186" i="14"/>
  <c r="F186" i="14"/>
  <c r="G186" i="14"/>
  <c r="H186" i="14"/>
  <c r="I186" i="14"/>
  <c r="J186" i="14"/>
  <c r="K186" i="14"/>
  <c r="L186" i="14"/>
  <c r="M186" i="14"/>
  <c r="N186" i="14"/>
  <c r="O186" i="14"/>
  <c r="P186" i="14"/>
  <c r="Q186" i="14"/>
  <c r="R186" i="14"/>
  <c r="T186" i="14"/>
  <c r="U186" i="14"/>
  <c r="V186" i="14"/>
  <c r="W186" i="14"/>
  <c r="E188" i="14"/>
  <c r="E296" i="14" s="1"/>
  <c r="F188" i="14"/>
  <c r="F296" i="14" s="1"/>
  <c r="G188" i="14"/>
  <c r="G296" i="14" s="1"/>
  <c r="H188" i="14"/>
  <c r="H296" i="14" s="1"/>
  <c r="I188" i="14"/>
  <c r="I296" i="14" s="1"/>
  <c r="J188" i="14"/>
  <c r="J296" i="14" s="1"/>
  <c r="K188" i="14"/>
  <c r="K296" i="14" s="1"/>
  <c r="L188" i="14"/>
  <c r="L296" i="14" s="1"/>
  <c r="M188" i="14"/>
  <c r="M296" i="14" s="1"/>
  <c r="N188" i="14"/>
  <c r="N296" i="14" s="1"/>
  <c r="O188" i="14"/>
  <c r="O296" i="14" s="1"/>
  <c r="P188" i="14"/>
  <c r="P296" i="14" s="1"/>
  <c r="Q188" i="14"/>
  <c r="Q296" i="14" s="1"/>
  <c r="R188" i="14"/>
  <c r="S188" i="14"/>
  <c r="T188" i="14"/>
  <c r="U188" i="14"/>
  <c r="V188" i="14"/>
  <c r="W188" i="14"/>
  <c r="X188" i="14"/>
  <c r="E190" i="14"/>
  <c r="F190" i="14"/>
  <c r="G190" i="14"/>
  <c r="H190" i="14"/>
  <c r="AV191" i="14"/>
  <c r="AW191" i="14"/>
  <c r="AX191" i="14"/>
  <c r="H208" i="14"/>
  <c r="I208" i="14"/>
  <c r="I213" i="14" s="1"/>
  <c r="J208" i="14"/>
  <c r="J213" i="14" s="1"/>
  <c r="K208" i="14"/>
  <c r="K213" i="14" s="1"/>
  <c r="L208" i="14"/>
  <c r="M208" i="14"/>
  <c r="N208" i="14"/>
  <c r="N213" i="14" s="1"/>
  <c r="O208" i="14"/>
  <c r="O213" i="14" s="1"/>
  <c r="P208" i="14"/>
  <c r="P213" i="14" s="1"/>
  <c r="Q208" i="14"/>
  <c r="R208" i="14"/>
  <c r="S208" i="14"/>
  <c r="T208" i="14"/>
  <c r="U208" i="14"/>
  <c r="V208" i="14"/>
  <c r="W208" i="14"/>
  <c r="X208" i="14"/>
  <c r="Q210" i="14"/>
  <c r="R210" i="14"/>
  <c r="S210" i="14"/>
  <c r="T210" i="14"/>
  <c r="U210" i="14"/>
  <c r="V210" i="14"/>
  <c r="W210" i="14"/>
  <c r="X210" i="14"/>
  <c r="U211" i="14"/>
  <c r="V211" i="14"/>
  <c r="W211" i="14"/>
  <c r="X211" i="14"/>
  <c r="AV217" i="14"/>
  <c r="AW217" i="14"/>
  <c r="AX217" i="14"/>
  <c r="K222" i="14"/>
  <c r="K293" i="14" s="1"/>
  <c r="L222" i="14"/>
  <c r="L293" i="14" s="1"/>
  <c r="M222" i="14"/>
  <c r="M293" i="14" s="1"/>
  <c r="N222" i="14"/>
  <c r="N293" i="14" s="1"/>
  <c r="O222" i="14"/>
  <c r="O293" i="14" s="1"/>
  <c r="P222" i="14"/>
  <c r="P293" i="14" s="1"/>
  <c r="Q222" i="14"/>
  <c r="Q293" i="14" s="1"/>
  <c r="R222" i="14"/>
  <c r="R293" i="14" s="1"/>
  <c r="S222" i="14"/>
  <c r="S293" i="14" s="1"/>
  <c r="T222" i="14"/>
  <c r="T293" i="14" s="1"/>
  <c r="U222" i="14"/>
  <c r="U293" i="14" s="1"/>
  <c r="V222" i="14"/>
  <c r="V293" i="14" s="1"/>
  <c r="W222" i="14"/>
  <c r="W293" i="14" s="1"/>
  <c r="X222" i="14"/>
  <c r="X293" i="14" s="1"/>
  <c r="R223" i="14"/>
  <c r="S223" i="14"/>
  <c r="T223" i="14"/>
  <c r="U223" i="14"/>
  <c r="V223" i="14"/>
  <c r="W223" i="14"/>
  <c r="X223" i="14"/>
  <c r="R224" i="14"/>
  <c r="S224" i="14"/>
  <c r="T224" i="14"/>
  <c r="U224" i="14"/>
  <c r="V224" i="14"/>
  <c r="W224" i="14"/>
  <c r="X224" i="14"/>
  <c r="AV246" i="14"/>
  <c r="AW246" i="14"/>
  <c r="AX246" i="14"/>
  <c r="U251" i="14"/>
  <c r="V251" i="14"/>
  <c r="W251" i="14"/>
  <c r="X251" i="14"/>
  <c r="E258" i="14"/>
  <c r="F258" i="14"/>
  <c r="G258" i="14"/>
  <c r="H258" i="14"/>
  <c r="I258" i="14"/>
  <c r="J258" i="14"/>
  <c r="K258" i="14"/>
  <c r="L258" i="14"/>
  <c r="M258" i="14"/>
  <c r="N258" i="14"/>
  <c r="O258" i="14"/>
  <c r="P258" i="14"/>
  <c r="Q258" i="14"/>
  <c r="R258" i="14"/>
  <c r="S258" i="14"/>
  <c r="T258" i="14"/>
  <c r="U258" i="14"/>
  <c r="V258" i="14"/>
  <c r="W258" i="14"/>
  <c r="X258" i="14"/>
  <c r="X273" i="14"/>
  <c r="X283" i="14" s="1"/>
  <c r="W282" i="14"/>
  <c r="X282" i="14"/>
  <c r="E283" i="14"/>
  <c r="E285" i="14" s="1"/>
  <c r="F283" i="14"/>
  <c r="F285" i="14" s="1"/>
  <c r="G283" i="14"/>
  <c r="H283" i="14"/>
  <c r="H285" i="14" s="1"/>
  <c r="I283" i="14"/>
  <c r="I285" i="14" s="1"/>
  <c r="J283" i="14"/>
  <c r="J285" i="14" s="1"/>
  <c r="K283" i="14"/>
  <c r="K285" i="14" s="1"/>
  <c r="L283" i="14"/>
  <c r="L285" i="14" s="1"/>
  <c r="M283" i="14"/>
  <c r="M285" i="14" s="1"/>
  <c r="N283" i="14"/>
  <c r="N285" i="14" s="1"/>
  <c r="O283" i="14"/>
  <c r="O285" i="14" s="1"/>
  <c r="P283" i="14"/>
  <c r="P285" i="14" s="1"/>
  <c r="Q283" i="14"/>
  <c r="R283" i="14"/>
  <c r="R285" i="14" s="1"/>
  <c r="S283" i="14"/>
  <c r="T283" i="14"/>
  <c r="U283" i="14"/>
  <c r="V283" i="14"/>
  <c r="V285" i="14" s="1"/>
  <c r="W283" i="14"/>
  <c r="AV289" i="14"/>
  <c r="AW289" i="14"/>
  <c r="AX289" i="14"/>
  <c r="AV299" i="14"/>
  <c r="AW299" i="14"/>
  <c r="AX299" i="14"/>
  <c r="AY299" i="14"/>
  <c r="AZ299" i="14"/>
  <c r="BA299" i="14"/>
  <c r="AV310" i="14"/>
  <c r="AW310" i="14"/>
  <c r="AX310" i="14"/>
  <c r="AV311" i="14"/>
  <c r="AW311" i="14"/>
  <c r="AX311" i="14"/>
  <c r="AV312" i="14"/>
  <c r="AW312" i="14"/>
  <c r="AX312" i="14"/>
  <c r="AV314" i="14"/>
  <c r="AW314" i="14"/>
  <c r="AX314" i="14"/>
  <c r="AV315" i="14"/>
  <c r="AW315" i="14"/>
  <c r="AX315" i="14"/>
  <c r="AV316" i="14"/>
  <c r="AW316" i="14"/>
  <c r="AX316" i="14"/>
  <c r="AV317" i="14"/>
  <c r="AW317" i="14"/>
  <c r="AX317" i="14"/>
  <c r="AV318" i="14"/>
  <c r="AW318" i="14"/>
  <c r="AX318" i="14"/>
  <c r="AV319" i="14"/>
  <c r="AW319" i="14"/>
  <c r="AX319" i="14"/>
  <c r="AV366" i="14"/>
  <c r="AW366" i="14"/>
  <c r="AX366" i="14"/>
  <c r="AV379" i="14"/>
  <c r="AW379" i="14"/>
  <c r="AX379" i="14"/>
  <c r="AV380" i="14"/>
  <c r="AW380" i="14"/>
  <c r="AX380" i="14"/>
  <c r="AV381" i="14"/>
  <c r="AW381" i="14"/>
  <c r="AX381" i="14"/>
  <c r="AV382" i="14"/>
  <c r="AW382" i="14"/>
  <c r="AX382" i="14"/>
  <c r="AV383" i="14"/>
  <c r="AW383" i="14"/>
  <c r="AX383" i="14"/>
  <c r="AV384" i="14"/>
  <c r="AW384" i="14"/>
  <c r="AX384" i="14"/>
  <c r="AV385" i="14"/>
  <c r="AW385" i="14"/>
  <c r="AX385" i="14"/>
  <c r="AV386" i="14"/>
  <c r="AW386" i="14"/>
  <c r="AX386" i="14"/>
  <c r="AV387" i="14"/>
  <c r="AW387" i="14"/>
  <c r="AX387" i="14"/>
  <c r="AV388" i="14"/>
  <c r="AW388" i="14"/>
  <c r="AX388" i="14"/>
  <c r="AV389" i="14"/>
  <c r="AW389" i="14"/>
  <c r="AX389" i="14"/>
  <c r="AV390" i="14"/>
  <c r="AW390" i="14"/>
  <c r="AX390" i="14"/>
  <c r="AV391" i="14"/>
  <c r="AW391" i="14"/>
  <c r="AX391" i="14"/>
  <c r="AV392" i="14"/>
  <c r="AW392" i="14"/>
  <c r="AX392" i="14"/>
  <c r="AV393" i="14"/>
  <c r="AW393" i="14"/>
  <c r="AX393" i="14"/>
  <c r="AV394" i="14"/>
  <c r="AW394" i="14"/>
  <c r="AX394" i="14"/>
  <c r="AV395" i="14"/>
  <c r="AW395" i="14"/>
  <c r="AX395" i="14"/>
  <c r="AV396" i="14"/>
  <c r="AW396" i="14"/>
  <c r="AX396" i="14"/>
  <c r="AV397" i="14"/>
  <c r="AW397" i="14"/>
  <c r="AX397" i="14"/>
  <c r="AV398" i="14"/>
  <c r="AW398" i="14"/>
  <c r="AX398" i="14"/>
  <c r="AV399" i="14"/>
  <c r="AW399" i="14"/>
  <c r="AX399" i="14"/>
  <c r="AV400" i="14"/>
  <c r="AW400" i="14"/>
  <c r="AX400" i="14"/>
  <c r="AV401" i="14"/>
  <c r="AW401" i="14"/>
  <c r="AX401" i="14"/>
  <c r="AV402" i="14"/>
  <c r="AW402" i="14"/>
  <c r="AX402" i="14"/>
  <c r="AV403" i="14"/>
  <c r="AW403" i="14"/>
  <c r="AX403" i="14"/>
  <c r="AV404" i="14"/>
  <c r="AW404" i="14"/>
  <c r="AX404" i="14"/>
  <c r="AV405" i="14"/>
  <c r="AW405" i="14"/>
  <c r="AX405" i="14"/>
  <c r="AV406" i="14"/>
  <c r="AW406" i="14"/>
  <c r="AX406" i="14"/>
  <c r="AV407" i="14"/>
  <c r="AW407" i="14"/>
  <c r="AX407" i="14"/>
  <c r="AV408" i="14"/>
  <c r="AW408" i="14"/>
  <c r="AX408" i="14"/>
  <c r="AV409" i="14"/>
  <c r="AW409" i="14"/>
  <c r="AX409" i="14"/>
  <c r="AV410" i="14"/>
  <c r="AW410" i="14"/>
  <c r="AX410" i="14"/>
  <c r="AV411" i="14"/>
  <c r="AW411" i="14"/>
  <c r="AX411" i="14"/>
  <c r="AV412" i="14"/>
  <c r="AW412" i="14"/>
  <c r="AX412" i="14"/>
  <c r="AV413" i="14"/>
  <c r="AW413" i="14"/>
  <c r="AX413" i="14"/>
  <c r="AV414" i="14"/>
  <c r="AW414" i="14"/>
  <c r="AX414" i="14"/>
  <c r="AV415" i="14"/>
  <c r="AW415" i="14"/>
  <c r="AX415" i="14"/>
  <c r="AV416" i="14"/>
  <c r="AW416" i="14"/>
  <c r="AX416" i="14"/>
  <c r="AV417" i="14"/>
  <c r="AW417" i="14"/>
  <c r="AX417" i="14"/>
  <c r="AV418" i="14"/>
  <c r="AW418" i="14"/>
  <c r="AX418" i="14"/>
  <c r="AV419" i="14"/>
  <c r="AW419" i="14"/>
  <c r="AX419" i="14"/>
  <c r="AV420" i="14"/>
  <c r="AW420" i="14"/>
  <c r="AX420" i="14"/>
  <c r="AV421" i="14"/>
  <c r="AW421" i="14"/>
  <c r="AX421" i="14"/>
  <c r="AV422" i="14"/>
  <c r="AW422" i="14"/>
  <c r="AX422" i="14"/>
  <c r="AV423" i="14"/>
  <c r="AW423" i="14"/>
  <c r="AX423" i="14"/>
  <c r="AV424" i="14"/>
  <c r="AW424" i="14"/>
  <c r="AX424" i="14"/>
  <c r="AV425" i="14"/>
  <c r="AW425" i="14"/>
  <c r="AX425" i="14"/>
  <c r="AV426" i="14"/>
  <c r="AW426" i="14"/>
  <c r="AX426" i="14"/>
  <c r="AV427" i="14"/>
  <c r="AW427" i="14"/>
  <c r="AX427" i="14"/>
  <c r="AV428" i="14"/>
  <c r="AW428" i="14"/>
  <c r="AX428" i="14"/>
  <c r="AV429" i="14"/>
  <c r="AW429" i="14"/>
  <c r="AX429" i="14"/>
  <c r="AV430" i="14"/>
  <c r="AW430" i="14"/>
  <c r="AX430" i="14"/>
  <c r="AV431" i="14"/>
  <c r="AW431" i="14"/>
  <c r="AX431" i="14"/>
  <c r="AV432" i="14"/>
  <c r="AW432" i="14"/>
  <c r="AX432" i="14"/>
  <c r="AV433" i="14"/>
  <c r="AW433" i="14"/>
  <c r="AX433" i="14"/>
  <c r="AV434" i="14"/>
  <c r="AW434" i="14"/>
  <c r="AX434" i="14"/>
  <c r="AV435" i="14"/>
  <c r="AW435" i="14"/>
  <c r="AX435" i="14"/>
  <c r="AV436" i="14"/>
  <c r="AW436" i="14"/>
  <c r="AX436" i="14"/>
  <c r="AV437" i="14"/>
  <c r="AW437" i="14"/>
  <c r="AX437" i="14"/>
  <c r="AV438" i="14"/>
  <c r="AW438" i="14"/>
  <c r="AX438" i="14"/>
  <c r="AV439" i="14"/>
  <c r="AW439" i="14"/>
  <c r="AX439" i="14"/>
  <c r="AV440" i="14"/>
  <c r="AW440" i="14"/>
  <c r="AX440" i="14"/>
  <c r="AV441" i="14"/>
  <c r="AW441" i="14"/>
  <c r="AX441" i="14"/>
  <c r="AV442" i="14"/>
  <c r="AW442" i="14"/>
  <c r="AX442" i="14"/>
  <c r="AV443" i="14"/>
  <c r="AW443" i="14"/>
  <c r="AX443" i="14"/>
  <c r="AV444" i="14"/>
  <c r="AW444" i="14"/>
  <c r="AX444" i="14"/>
  <c r="AV445" i="14"/>
  <c r="AW445" i="14"/>
  <c r="AX445" i="14"/>
  <c r="AV446" i="14"/>
  <c r="AW446" i="14"/>
  <c r="AX446" i="14"/>
  <c r="AV447" i="14"/>
  <c r="AW447" i="14"/>
  <c r="AX447" i="14"/>
  <c r="AV448" i="14"/>
  <c r="AW448" i="14"/>
  <c r="AX448" i="14"/>
  <c r="AV449" i="14"/>
  <c r="AW449" i="14"/>
  <c r="AX449" i="14"/>
  <c r="AV450" i="14"/>
  <c r="AW450" i="14"/>
  <c r="AX450" i="14"/>
  <c r="AV451" i="14"/>
  <c r="AW451" i="14"/>
  <c r="AX451" i="14"/>
  <c r="AV452" i="14"/>
  <c r="AW452" i="14"/>
  <c r="AX452" i="14"/>
  <c r="AV453" i="14"/>
  <c r="AW453" i="14"/>
  <c r="AX453" i="14"/>
  <c r="AV454" i="14"/>
  <c r="AW454" i="14"/>
  <c r="AX454" i="14"/>
  <c r="AV455" i="14"/>
  <c r="AW455" i="14"/>
  <c r="AX455" i="14"/>
  <c r="AV456" i="14"/>
  <c r="AW456" i="14"/>
  <c r="AX456" i="14"/>
  <c r="AV457" i="14"/>
  <c r="AW457" i="14"/>
  <c r="AX457" i="14"/>
  <c r="AV458" i="14"/>
  <c r="AW458" i="14"/>
  <c r="AX458" i="14"/>
  <c r="AV459" i="14"/>
  <c r="AW459" i="14"/>
  <c r="AX459" i="14"/>
  <c r="AV460" i="14"/>
  <c r="AW460" i="14"/>
  <c r="AX460" i="14"/>
  <c r="AV461" i="14"/>
  <c r="AW461" i="14"/>
  <c r="AX461" i="14"/>
  <c r="AV462" i="14"/>
  <c r="AW462" i="14"/>
  <c r="AX462" i="14"/>
  <c r="AV463" i="14"/>
  <c r="AW463" i="14"/>
  <c r="AX463" i="14"/>
  <c r="AV464" i="14"/>
  <c r="AW464" i="14"/>
  <c r="AX464" i="14"/>
  <c r="AV465" i="14"/>
  <c r="AW465" i="14"/>
  <c r="AX465" i="14"/>
  <c r="AV466" i="14"/>
  <c r="AW466" i="14"/>
  <c r="AX466" i="14"/>
  <c r="AV467" i="14"/>
  <c r="AW467" i="14"/>
  <c r="AX467" i="14"/>
  <c r="AV468" i="14"/>
  <c r="AW468" i="14"/>
  <c r="AX468" i="14"/>
  <c r="AV469" i="14"/>
  <c r="AW469" i="14"/>
  <c r="AX469" i="14"/>
  <c r="AV470" i="14"/>
  <c r="AW470" i="14"/>
  <c r="AX470" i="14"/>
  <c r="AV471" i="14"/>
  <c r="AW471" i="14"/>
  <c r="AX471" i="14"/>
  <c r="AV472" i="14"/>
  <c r="AW472" i="14"/>
  <c r="AX472" i="14"/>
  <c r="AV473" i="14"/>
  <c r="AW473" i="14"/>
  <c r="AX473" i="14"/>
  <c r="AV474" i="14"/>
  <c r="AW474" i="14"/>
  <c r="AX474" i="14"/>
  <c r="AV475" i="14"/>
  <c r="AW475" i="14"/>
  <c r="AX475" i="14"/>
  <c r="AV476" i="14"/>
  <c r="AW476" i="14"/>
  <c r="AX476" i="14"/>
  <c r="AV477" i="14"/>
  <c r="AW477" i="14"/>
  <c r="AX477" i="14"/>
  <c r="AV478" i="14"/>
  <c r="AW478" i="14"/>
  <c r="AX478" i="14"/>
  <c r="AV479" i="14"/>
  <c r="AW479" i="14"/>
  <c r="AX479" i="14"/>
  <c r="AV480" i="14"/>
  <c r="AW480" i="14"/>
  <c r="AX480" i="14"/>
  <c r="AV481" i="14"/>
  <c r="AW481" i="14"/>
  <c r="AX481" i="14"/>
  <c r="AV482" i="14"/>
  <c r="AW482" i="14"/>
  <c r="AX482" i="14"/>
  <c r="AV483" i="14"/>
  <c r="AW483" i="14"/>
  <c r="AX483" i="14"/>
  <c r="AV484" i="14"/>
  <c r="AW484" i="14"/>
  <c r="AX484" i="14"/>
  <c r="AV485" i="14"/>
  <c r="AW485" i="14"/>
  <c r="AX485" i="14"/>
  <c r="AV486" i="14"/>
  <c r="AW486" i="14"/>
  <c r="AX486" i="14"/>
  <c r="AV487" i="14"/>
  <c r="AW487" i="14"/>
  <c r="AX487" i="14"/>
  <c r="AV488" i="14"/>
  <c r="AW488" i="14"/>
  <c r="AX488" i="14"/>
  <c r="AV489" i="14"/>
  <c r="AW489" i="14"/>
  <c r="AX489" i="14"/>
  <c r="AV490" i="14"/>
  <c r="AW490" i="14"/>
  <c r="AX490" i="14"/>
  <c r="AV491" i="14"/>
  <c r="AW491" i="14"/>
  <c r="AX491" i="14"/>
  <c r="AV492" i="14"/>
  <c r="AW492" i="14"/>
  <c r="AX492" i="14"/>
  <c r="AV493" i="14"/>
  <c r="AW493" i="14"/>
  <c r="AX493" i="14"/>
  <c r="AV494" i="14"/>
  <c r="AW494" i="14"/>
  <c r="AX494" i="14"/>
  <c r="AV495" i="14"/>
  <c r="AW495" i="14"/>
  <c r="AX495" i="14"/>
  <c r="AV496" i="14"/>
  <c r="AW496" i="14"/>
  <c r="AX496" i="14"/>
  <c r="AV497" i="14"/>
  <c r="AW497" i="14"/>
  <c r="AX497" i="14"/>
  <c r="AV498" i="14"/>
  <c r="AW498" i="14"/>
  <c r="AX498" i="14"/>
  <c r="AV499" i="14"/>
  <c r="AW499" i="14"/>
  <c r="AX499" i="14"/>
  <c r="AV500" i="14"/>
  <c r="AW500" i="14"/>
  <c r="AX500" i="14"/>
  <c r="AV501" i="14"/>
  <c r="AW501" i="14"/>
  <c r="AX501" i="14"/>
  <c r="AV502" i="14"/>
  <c r="AW502" i="14"/>
  <c r="AX502" i="14"/>
  <c r="AV503" i="14"/>
  <c r="AW503" i="14"/>
  <c r="AX503" i="14"/>
  <c r="AV504" i="14"/>
  <c r="AW504" i="14"/>
  <c r="AX504" i="14"/>
  <c r="AV505" i="14"/>
  <c r="AW505" i="14"/>
  <c r="AX505" i="14"/>
  <c r="AV506" i="14"/>
  <c r="AW506" i="14"/>
  <c r="AX506" i="14"/>
  <c r="AV507" i="14"/>
  <c r="AW507" i="14"/>
  <c r="AX507" i="14"/>
  <c r="AV508" i="14"/>
  <c r="AW508" i="14"/>
  <c r="AX508" i="14"/>
  <c r="AV509" i="14"/>
  <c r="AW509" i="14"/>
  <c r="AX509" i="14"/>
  <c r="AV510" i="14"/>
  <c r="AW510" i="14"/>
  <c r="AX510" i="14"/>
  <c r="AV511" i="14"/>
  <c r="AW511" i="14"/>
  <c r="AX511" i="14"/>
  <c r="AV512" i="14"/>
  <c r="AW512" i="14"/>
  <c r="AX512" i="14"/>
  <c r="AV513" i="14"/>
  <c r="AW513" i="14"/>
  <c r="AX513" i="14"/>
  <c r="AV514" i="14"/>
  <c r="AW514" i="14"/>
  <c r="AX514" i="14"/>
  <c r="AV515" i="14"/>
  <c r="AW515" i="14"/>
  <c r="AX515" i="14"/>
  <c r="AV516" i="14"/>
  <c r="AW516" i="14"/>
  <c r="AX516" i="14"/>
  <c r="AV517" i="14"/>
  <c r="AW517" i="14"/>
  <c r="AX517" i="14"/>
  <c r="AV518" i="14"/>
  <c r="AW518" i="14"/>
  <c r="AX518" i="14"/>
  <c r="AV519" i="14"/>
  <c r="AW519" i="14"/>
  <c r="AX519" i="14"/>
  <c r="AV520" i="14"/>
  <c r="AW520" i="14"/>
  <c r="AX520" i="14"/>
  <c r="AV521" i="14"/>
  <c r="AW521" i="14"/>
  <c r="AX521" i="14"/>
  <c r="AV522" i="14"/>
  <c r="AW522" i="14"/>
  <c r="AX522" i="14"/>
  <c r="AV523" i="14"/>
  <c r="AW523" i="14"/>
  <c r="AX523" i="14"/>
  <c r="AV524" i="14"/>
  <c r="AW524" i="14"/>
  <c r="AX524" i="14"/>
  <c r="AV525" i="14"/>
  <c r="AW525" i="14"/>
  <c r="AX525" i="14"/>
  <c r="AV526" i="14"/>
  <c r="AW526" i="14"/>
  <c r="AX526" i="14"/>
  <c r="AV527" i="14"/>
  <c r="AW527" i="14"/>
  <c r="AX527" i="14"/>
  <c r="AV528" i="14"/>
  <c r="AW528" i="14"/>
  <c r="AX528" i="14"/>
  <c r="AV529" i="14"/>
  <c r="AW529" i="14"/>
  <c r="AX529" i="14"/>
  <c r="AV530" i="14"/>
  <c r="AW530" i="14"/>
  <c r="AX530" i="14"/>
  <c r="AV531" i="14"/>
  <c r="AW531" i="14"/>
  <c r="AX531" i="14"/>
  <c r="AV532" i="14"/>
  <c r="AW532" i="14"/>
  <c r="AX532" i="14"/>
  <c r="AV533" i="14"/>
  <c r="AW533" i="14"/>
  <c r="AX533" i="14"/>
  <c r="AV534" i="14"/>
  <c r="AW534" i="14"/>
  <c r="AX534" i="14"/>
  <c r="AV535" i="14"/>
  <c r="AW535" i="14"/>
  <c r="AX535" i="14"/>
  <c r="AV536" i="14"/>
  <c r="AW536" i="14"/>
  <c r="AX536" i="14"/>
  <c r="AV537" i="14"/>
  <c r="AW537" i="14"/>
  <c r="AX537" i="14"/>
  <c r="AV538" i="14"/>
  <c r="AW538" i="14"/>
  <c r="AX538" i="14"/>
  <c r="AV539" i="14"/>
  <c r="AW539" i="14"/>
  <c r="AX539" i="14"/>
  <c r="AV540" i="14"/>
  <c r="AW540" i="14"/>
  <c r="AX540" i="14"/>
  <c r="AV541" i="14"/>
  <c r="AW541" i="14"/>
  <c r="AX541" i="14"/>
  <c r="AV542" i="14"/>
  <c r="AW542" i="14"/>
  <c r="AX542" i="14"/>
  <c r="AV543" i="14"/>
  <c r="AW543" i="14"/>
  <c r="AX543" i="14"/>
  <c r="AV544" i="14"/>
  <c r="AW544" i="14"/>
  <c r="AX544" i="14"/>
  <c r="AV545" i="14"/>
  <c r="AW545" i="14"/>
  <c r="AX545" i="14"/>
  <c r="AV546" i="14"/>
  <c r="AW546" i="14"/>
  <c r="AX546" i="14"/>
  <c r="AV547" i="14"/>
  <c r="AW547" i="14"/>
  <c r="AX547" i="14"/>
  <c r="AV548" i="14"/>
  <c r="AW548" i="14"/>
  <c r="AX548" i="14"/>
  <c r="AV549" i="14"/>
  <c r="AW549" i="14"/>
  <c r="AX549" i="14"/>
  <c r="AV550" i="14"/>
  <c r="AW550" i="14"/>
  <c r="AX550" i="14"/>
  <c r="AV551" i="14"/>
  <c r="AW551" i="14"/>
  <c r="AX551" i="14"/>
  <c r="AV552" i="14"/>
  <c r="AW552" i="14"/>
  <c r="AX552" i="14"/>
  <c r="AV553" i="14"/>
  <c r="AW553" i="14"/>
  <c r="AX553" i="14"/>
  <c r="AV554" i="14"/>
  <c r="AW554" i="14"/>
  <c r="AX554" i="14"/>
  <c r="AV555" i="14"/>
  <c r="AW555" i="14"/>
  <c r="AX555" i="14"/>
  <c r="AV556" i="14"/>
  <c r="AW556" i="14"/>
  <c r="AX556" i="14"/>
  <c r="AV557" i="14"/>
  <c r="AW557" i="14"/>
  <c r="AX557" i="14"/>
  <c r="AV558" i="14"/>
  <c r="AW558" i="14"/>
  <c r="AX558" i="14"/>
  <c r="AV559" i="14"/>
  <c r="AW559" i="14"/>
  <c r="AX559" i="14"/>
  <c r="AV560" i="14"/>
  <c r="AW560" i="14"/>
  <c r="AX560" i="14"/>
  <c r="AV561" i="14"/>
  <c r="AW561" i="14"/>
  <c r="AX561" i="14"/>
  <c r="AV562" i="14"/>
  <c r="AW562" i="14"/>
  <c r="AX562" i="14"/>
  <c r="AV563" i="14"/>
  <c r="AW563" i="14"/>
  <c r="AX563" i="14"/>
  <c r="AV564" i="14"/>
  <c r="AW564" i="14"/>
  <c r="AX564" i="14"/>
  <c r="AV565" i="14"/>
  <c r="AW565" i="14"/>
  <c r="AX565" i="14"/>
  <c r="AV566" i="14"/>
  <c r="AW566" i="14"/>
  <c r="AX566" i="14"/>
  <c r="AV567" i="14"/>
  <c r="AW567" i="14"/>
  <c r="AX567" i="14"/>
  <c r="AV568" i="14"/>
  <c r="AW568" i="14"/>
  <c r="AX568" i="14"/>
  <c r="AV569" i="14"/>
  <c r="AW569" i="14"/>
  <c r="AX569" i="14"/>
  <c r="AV570" i="14"/>
  <c r="AW570" i="14"/>
  <c r="AX570" i="14"/>
  <c r="AV571" i="14"/>
  <c r="AW571" i="14"/>
  <c r="AX571" i="14"/>
  <c r="AV572" i="14"/>
  <c r="AW572" i="14"/>
  <c r="AX572" i="14"/>
  <c r="AV573" i="14"/>
  <c r="AW573" i="14"/>
  <c r="AX573" i="14"/>
  <c r="AV574" i="14"/>
  <c r="AW574" i="14"/>
  <c r="AX574" i="14"/>
  <c r="AV575" i="14"/>
  <c r="AW575" i="14"/>
  <c r="AX575" i="14"/>
  <c r="AV576" i="14"/>
  <c r="AW576" i="14"/>
  <c r="AX576" i="14"/>
  <c r="AV577" i="14"/>
  <c r="AW577" i="14"/>
  <c r="AX577" i="14"/>
  <c r="AV578" i="14"/>
  <c r="AW578" i="14"/>
  <c r="AX578" i="14"/>
  <c r="AV579" i="14"/>
  <c r="AW579" i="14"/>
  <c r="AX579" i="14"/>
  <c r="AV580" i="14"/>
  <c r="AW580" i="14"/>
  <c r="AX580" i="14"/>
  <c r="AV581" i="14"/>
  <c r="AW581" i="14"/>
  <c r="AX581" i="14"/>
  <c r="AV582" i="14"/>
  <c r="AW582" i="14"/>
  <c r="AX582" i="14"/>
  <c r="AV583" i="14"/>
  <c r="AW583" i="14"/>
  <c r="AX583" i="14"/>
  <c r="AV584" i="14"/>
  <c r="AW584" i="14"/>
  <c r="AX584" i="14"/>
  <c r="AV585" i="14"/>
  <c r="AW585" i="14"/>
  <c r="AX585" i="14"/>
  <c r="AV586" i="14"/>
  <c r="AW586" i="14"/>
  <c r="AX586" i="14"/>
  <c r="AV587" i="14"/>
  <c r="AW587" i="14"/>
  <c r="AX587" i="14"/>
  <c r="AV588" i="14"/>
  <c r="AW588" i="14"/>
  <c r="AX588" i="14"/>
  <c r="AV589" i="14"/>
  <c r="AW589" i="14"/>
  <c r="AX589" i="14"/>
  <c r="AV590" i="14"/>
  <c r="AW590" i="14"/>
  <c r="AX590" i="14"/>
  <c r="AV591" i="14"/>
  <c r="AW591" i="14"/>
  <c r="AX591" i="14"/>
  <c r="AV592" i="14"/>
  <c r="AW592" i="14"/>
  <c r="AX592" i="14"/>
  <c r="AV593" i="14"/>
  <c r="AW593" i="14"/>
  <c r="AX593" i="14"/>
  <c r="AV594" i="14"/>
  <c r="AW594" i="14"/>
  <c r="AX594" i="14"/>
  <c r="AV595" i="14"/>
  <c r="AW595" i="14"/>
  <c r="AX595" i="14"/>
  <c r="AV596" i="14"/>
  <c r="AW596" i="14"/>
  <c r="AX596" i="14"/>
  <c r="AV597" i="14"/>
  <c r="AW597" i="14"/>
  <c r="AX597" i="14"/>
  <c r="AV598" i="14"/>
  <c r="AW598" i="14"/>
  <c r="AX598" i="14"/>
  <c r="AV599" i="14"/>
  <c r="AW599" i="14"/>
  <c r="AX599" i="14"/>
  <c r="AV600" i="14"/>
  <c r="AW600" i="14"/>
  <c r="AX600" i="14"/>
  <c r="AV601" i="14"/>
  <c r="AW601" i="14"/>
  <c r="AX601" i="14"/>
  <c r="AV602" i="14"/>
  <c r="AW602" i="14"/>
  <c r="AX602" i="14"/>
  <c r="AV603" i="14"/>
  <c r="AW603" i="14"/>
  <c r="AX603" i="14"/>
  <c r="AV604" i="14"/>
  <c r="AW604" i="14"/>
  <c r="AX604" i="14"/>
  <c r="AV605" i="14"/>
  <c r="AW605" i="14"/>
  <c r="AX605" i="14"/>
  <c r="AV606" i="14"/>
  <c r="AW606" i="14"/>
  <c r="AX606" i="14"/>
  <c r="AV607" i="14"/>
  <c r="AW607" i="14"/>
  <c r="AX607" i="14"/>
  <c r="AV608" i="14"/>
  <c r="AW608" i="14"/>
  <c r="AX608" i="14"/>
  <c r="AV609" i="14"/>
  <c r="AW609" i="14"/>
  <c r="AX609" i="14"/>
  <c r="AV610" i="14"/>
  <c r="AW610" i="14"/>
  <c r="AX610" i="14"/>
  <c r="AV611" i="14"/>
  <c r="AW611" i="14"/>
  <c r="AX611" i="14"/>
  <c r="AV612" i="14"/>
  <c r="AW612" i="14"/>
  <c r="AX612" i="14"/>
  <c r="AV613" i="14"/>
  <c r="AW613" i="14"/>
  <c r="AX613" i="14"/>
  <c r="AV614" i="14"/>
  <c r="AW614" i="14"/>
  <c r="AX614" i="14"/>
  <c r="AV615" i="14"/>
  <c r="AW615" i="14"/>
  <c r="AX615" i="14"/>
  <c r="AV616" i="14"/>
  <c r="AW616" i="14"/>
  <c r="AX616" i="14"/>
  <c r="AV617" i="14"/>
  <c r="AW617" i="14"/>
  <c r="AX617" i="14"/>
  <c r="AV618" i="14"/>
  <c r="AW618" i="14"/>
  <c r="AX618" i="14"/>
  <c r="AV619" i="14"/>
  <c r="AW619" i="14"/>
  <c r="AX619" i="14"/>
  <c r="AV620" i="14"/>
  <c r="AW620" i="14"/>
  <c r="AX620" i="14"/>
  <c r="AV621" i="14"/>
  <c r="AW621" i="14"/>
  <c r="AX621" i="14"/>
  <c r="AV622" i="14"/>
  <c r="AW622" i="14"/>
  <c r="AX622" i="14"/>
  <c r="AV623" i="14"/>
  <c r="AW623" i="14"/>
  <c r="AX623" i="14"/>
  <c r="AV624" i="14"/>
  <c r="AW624" i="14"/>
  <c r="AX624" i="14"/>
  <c r="AV625" i="14"/>
  <c r="AW625" i="14"/>
  <c r="AX625" i="14"/>
  <c r="AV626" i="14"/>
  <c r="AW626" i="14"/>
  <c r="AX626" i="14"/>
  <c r="AV627" i="14"/>
  <c r="AW627" i="14"/>
  <c r="AX627" i="14"/>
  <c r="AV628" i="14"/>
  <c r="AW628" i="14"/>
  <c r="AX628" i="14"/>
  <c r="AV629" i="14"/>
  <c r="AW629" i="14"/>
  <c r="AX629" i="14"/>
  <c r="AV630" i="14"/>
  <c r="AW630" i="14"/>
  <c r="AX630" i="14"/>
  <c r="AV631" i="14"/>
  <c r="AW631" i="14"/>
  <c r="AX631" i="14"/>
  <c r="AV632" i="14"/>
  <c r="AW632" i="14"/>
  <c r="AX632" i="14"/>
  <c r="AV633" i="14"/>
  <c r="AW633" i="14"/>
  <c r="AX633" i="14"/>
  <c r="AV634" i="14"/>
  <c r="AW634" i="14"/>
  <c r="AX634" i="14"/>
  <c r="AV635" i="14"/>
  <c r="AW635" i="14"/>
  <c r="AX635" i="14"/>
  <c r="AV636" i="14"/>
  <c r="AW636" i="14"/>
  <c r="AX636" i="14"/>
  <c r="AV637" i="14"/>
  <c r="AW637" i="14"/>
  <c r="AX637" i="14"/>
  <c r="AV638" i="14"/>
  <c r="AW638" i="14"/>
  <c r="AX638" i="14"/>
  <c r="AV639" i="14"/>
  <c r="AW639" i="14"/>
  <c r="AX639" i="14"/>
  <c r="AV640" i="14"/>
  <c r="AW640" i="14"/>
  <c r="AX640" i="14"/>
  <c r="AV641" i="14"/>
  <c r="AW641" i="14"/>
  <c r="AX641" i="14"/>
  <c r="AV642" i="14"/>
  <c r="AW642" i="14"/>
  <c r="AX642" i="14"/>
  <c r="AV643" i="14"/>
  <c r="AW643" i="14"/>
  <c r="AX643" i="14"/>
  <c r="AV644" i="14"/>
  <c r="AW644" i="14"/>
  <c r="AX644" i="14"/>
  <c r="AV645" i="14"/>
  <c r="AW645" i="14"/>
  <c r="AX645" i="14"/>
  <c r="AV646" i="14"/>
  <c r="AW646" i="14"/>
  <c r="AX646" i="14"/>
  <c r="AV647" i="14"/>
  <c r="AW647" i="14"/>
  <c r="AX647" i="14"/>
  <c r="AV648" i="14"/>
  <c r="AW648" i="14"/>
  <c r="AX648" i="14"/>
  <c r="AV649" i="14"/>
  <c r="AW649" i="14"/>
  <c r="AX649" i="14"/>
  <c r="AV650" i="14"/>
  <c r="AW650" i="14"/>
  <c r="AX650" i="14"/>
  <c r="AV651" i="14"/>
  <c r="AW651" i="14"/>
  <c r="AX651" i="14"/>
  <c r="AV652" i="14"/>
  <c r="AW652" i="14"/>
  <c r="AX652" i="14"/>
  <c r="AV653" i="14"/>
  <c r="AW653" i="14"/>
  <c r="AX653" i="14"/>
  <c r="AV654" i="14"/>
  <c r="AW654" i="14"/>
  <c r="AX654" i="14"/>
  <c r="AV655" i="14"/>
  <c r="AW655" i="14"/>
  <c r="AX655" i="14"/>
  <c r="AV656" i="14"/>
  <c r="AW656" i="14"/>
  <c r="AX656" i="14"/>
  <c r="AV657" i="14"/>
  <c r="AW657" i="14"/>
  <c r="AX657" i="14"/>
  <c r="AV658" i="14"/>
  <c r="AW658" i="14"/>
  <c r="AX658" i="14"/>
  <c r="AV659" i="14"/>
  <c r="AW659" i="14"/>
  <c r="AX659" i="14"/>
  <c r="AV660" i="14"/>
  <c r="AW660" i="14"/>
  <c r="AX660" i="14"/>
  <c r="AV661" i="14"/>
  <c r="AW661" i="14"/>
  <c r="AX661" i="14"/>
  <c r="AV662" i="14"/>
  <c r="AW662" i="14"/>
  <c r="AX662" i="14"/>
  <c r="AV663" i="14"/>
  <c r="AW663" i="14"/>
  <c r="AX663" i="14"/>
  <c r="AV664" i="14"/>
  <c r="AW664" i="14"/>
  <c r="AX664" i="14"/>
  <c r="AV665" i="14"/>
  <c r="AW665" i="14"/>
  <c r="AX665" i="14"/>
  <c r="AV666" i="14"/>
  <c r="AW666" i="14"/>
  <c r="AX666" i="14"/>
  <c r="T294" i="14" l="1"/>
  <c r="O294" i="14"/>
  <c r="K294" i="14"/>
  <c r="G294" i="14"/>
  <c r="AB114" i="14"/>
  <c r="AI291" i="14"/>
  <c r="AE292" i="14"/>
  <c r="AC292" i="14"/>
  <c r="AA292" i="14"/>
  <c r="Y292" i="14"/>
  <c r="AE294" i="14"/>
  <c r="AA116" i="14"/>
  <c r="AB296" i="14"/>
  <c r="Y117" i="14"/>
  <c r="Y296" i="14" s="1"/>
  <c r="AI296" i="14"/>
  <c r="AI292" i="14"/>
  <c r="AL291" i="14"/>
  <c r="AM296" i="14"/>
  <c r="AN294" i="14"/>
  <c r="V119" i="14"/>
  <c r="V291" i="14"/>
  <c r="R114" i="14"/>
  <c r="AC119" i="14"/>
  <c r="V296" i="14"/>
  <c r="R296" i="14"/>
  <c r="W294" i="14"/>
  <c r="R294" i="14"/>
  <c r="N294" i="14"/>
  <c r="J294" i="14"/>
  <c r="F294" i="14"/>
  <c r="U119" i="14"/>
  <c r="U291" i="14"/>
  <c r="M119" i="14"/>
  <c r="M291" i="14"/>
  <c r="I119" i="14"/>
  <c r="I120" i="14" s="1"/>
  <c r="I291" i="14"/>
  <c r="E119" i="14"/>
  <c r="E291" i="14"/>
  <c r="Q114" i="14"/>
  <c r="X296" i="14"/>
  <c r="S114" i="14"/>
  <c r="AG291" i="14"/>
  <c r="AA114" i="14"/>
  <c r="Z114" i="14"/>
  <c r="AF292" i="14"/>
  <c r="AH294" i="14"/>
  <c r="AH296" i="14"/>
  <c r="AG296" i="14"/>
  <c r="AF296" i="14"/>
  <c r="AE296" i="14"/>
  <c r="AD296" i="14"/>
  <c r="AC296" i="14"/>
  <c r="AA117" i="14"/>
  <c r="AA296" i="14" s="1"/>
  <c r="AJ296" i="14"/>
  <c r="AK291" i="14"/>
  <c r="AL294" i="14"/>
  <c r="AO296" i="14"/>
  <c r="N119" i="14"/>
  <c r="N120" i="14" s="1"/>
  <c r="N291" i="14"/>
  <c r="F119" i="14"/>
  <c r="F291" i="14"/>
  <c r="F298" i="14" s="1"/>
  <c r="AE119" i="14"/>
  <c r="AE291" i="14"/>
  <c r="AE298" i="14" s="1"/>
  <c r="AB119" i="14"/>
  <c r="U296" i="14"/>
  <c r="V294" i="14"/>
  <c r="Q294" i="14"/>
  <c r="M294" i="14"/>
  <c r="I294" i="14"/>
  <c r="E294" i="14"/>
  <c r="X292" i="14"/>
  <c r="T119" i="14"/>
  <c r="T291" i="14"/>
  <c r="P119" i="14"/>
  <c r="P120" i="14" s="1"/>
  <c r="P291" i="14"/>
  <c r="L119" i="14"/>
  <c r="L291" i="14"/>
  <c r="H119" i="14"/>
  <c r="H291" i="14"/>
  <c r="S296" i="14"/>
  <c r="AF291" i="14"/>
  <c r="AD119" i="14"/>
  <c r="AG292" i="14"/>
  <c r="AD292" i="14"/>
  <c r="AB292" i="14"/>
  <c r="Z292" i="14"/>
  <c r="AG294" i="14"/>
  <c r="Y116" i="14"/>
  <c r="Z117" i="14"/>
  <c r="Z296" i="14" s="1"/>
  <c r="AJ294" i="14"/>
  <c r="AK294" i="14"/>
  <c r="AL296" i="14"/>
  <c r="AM291" i="14"/>
  <c r="AN296" i="14"/>
  <c r="W296" i="14"/>
  <c r="J119" i="14"/>
  <c r="J291" i="14"/>
  <c r="X114" i="14"/>
  <c r="AH291" i="14"/>
  <c r="T296" i="14"/>
  <c r="U294" i="14"/>
  <c r="P294" i="14"/>
  <c r="L294" i="14"/>
  <c r="H294" i="14"/>
  <c r="W292" i="14"/>
  <c r="W119" i="14"/>
  <c r="W291" i="14"/>
  <c r="O119" i="14"/>
  <c r="O120" i="14" s="1"/>
  <c r="O291" i="14"/>
  <c r="O298" i="14" s="1"/>
  <c r="K119" i="14"/>
  <c r="K120" i="14" s="1"/>
  <c r="K291" i="14"/>
  <c r="K298" i="14" s="1"/>
  <c r="G119" i="14"/>
  <c r="G291" i="14"/>
  <c r="S116" i="14"/>
  <c r="Y114" i="14"/>
  <c r="AH292" i="14"/>
  <c r="AF294" i="14"/>
  <c r="AI294" i="14"/>
  <c r="AJ291" i="14"/>
  <c r="AK296" i="14"/>
  <c r="AM294" i="14"/>
  <c r="K226" i="14"/>
  <c r="AN291" i="14"/>
  <c r="AX116" i="14"/>
  <c r="AZ116" i="14" s="1"/>
  <c r="AX144" i="14"/>
  <c r="AZ144" i="14" s="1"/>
  <c r="AX117" i="14"/>
  <c r="AZ117" i="14" s="1"/>
  <c r="AX251" i="14"/>
  <c r="AZ251" i="14" s="1"/>
  <c r="AX115" i="14"/>
  <c r="AZ115" i="14" s="1"/>
  <c r="AZ143" i="14"/>
  <c r="AX186" i="14"/>
  <c r="AZ186" i="14" s="1"/>
  <c r="AX209" i="14"/>
  <c r="AZ209" i="14" s="1"/>
  <c r="AX187" i="14"/>
  <c r="AZ187" i="14" s="1"/>
  <c r="AX210" i="14"/>
  <c r="AZ210" i="14" s="1"/>
  <c r="AX145" i="14"/>
  <c r="AZ145" i="14" s="1"/>
  <c r="AX188" i="14"/>
  <c r="AZ188" i="14" s="1"/>
  <c r="AX211" i="14"/>
  <c r="AZ211" i="14" s="1"/>
  <c r="AX142" i="14"/>
  <c r="AZ142" i="14" s="1"/>
  <c r="AX184" i="14"/>
  <c r="AZ184" i="14" s="1"/>
  <c r="AX222" i="14"/>
  <c r="AZ222" i="14" s="1"/>
  <c r="AX281" i="14"/>
  <c r="AZ281" i="14" s="1"/>
  <c r="AX114" i="14"/>
  <c r="AZ114" i="14" s="1"/>
  <c r="AO208" i="14"/>
  <c r="AX208" i="14" s="1"/>
  <c r="AZ208" i="14" s="1"/>
  <c r="O190" i="14"/>
  <c r="X213" i="14"/>
  <c r="AB213" i="14"/>
  <c r="U213" i="14"/>
  <c r="AE190" i="14"/>
  <c r="X285" i="14"/>
  <c r="AM213" i="14"/>
  <c r="AA147" i="14"/>
  <c r="AH213" i="14"/>
  <c r="Q213" i="14"/>
  <c r="AA186" i="14"/>
  <c r="AA190" i="14" s="1"/>
  <c r="Z186" i="14"/>
  <c r="Z294" i="14" s="1"/>
  <c r="X186" i="14"/>
  <c r="X294" i="14" s="1"/>
  <c r="Y184" i="14"/>
  <c r="AM190" i="14"/>
  <c r="U190" i="14"/>
  <c r="M213" i="14"/>
  <c r="AG285" i="14"/>
  <c r="AD184" i="14"/>
  <c r="AD291" i="14" s="1"/>
  <c r="Z184" i="14"/>
  <c r="AC186" i="14"/>
  <c r="AC294" i="14" s="1"/>
  <c r="AB186" i="14"/>
  <c r="AB294" i="14" s="1"/>
  <c r="Y186" i="14"/>
  <c r="AL190" i="14"/>
  <c r="AK213" i="14"/>
  <c r="AM285" i="14"/>
  <c r="AN190" i="14"/>
  <c r="AN213" i="14"/>
  <c r="AB285" i="14"/>
  <c r="AO285" i="14"/>
  <c r="AO190" i="14"/>
  <c r="V147" i="14"/>
  <c r="AC285" i="14"/>
  <c r="AI147" i="14"/>
  <c r="AM147" i="14"/>
  <c r="AD285" i="14"/>
  <c r="Y285" i="14"/>
  <c r="AM226" i="14"/>
  <c r="S186" i="14"/>
  <c r="AC184" i="14"/>
  <c r="AC291" i="14" s="1"/>
  <c r="X184" i="14"/>
  <c r="AL147" i="14"/>
  <c r="V213" i="14"/>
  <c r="R213" i="14"/>
  <c r="K147" i="14"/>
  <c r="K149" i="14" s="1"/>
  <c r="X147" i="14"/>
  <c r="AI190" i="14"/>
  <c r="S285" i="14"/>
  <c r="AI285" i="14"/>
  <c r="AD186" i="14"/>
  <c r="AD294" i="14" s="1"/>
  <c r="AK190" i="14"/>
  <c r="T213" i="14"/>
  <c r="H213" i="14"/>
  <c r="T190" i="14"/>
  <c r="P190" i="14"/>
  <c r="L190" i="14"/>
  <c r="W190" i="14"/>
  <c r="R147" i="14"/>
  <c r="R149" i="14" s="1"/>
  <c r="N147" i="14"/>
  <c r="J147" i="14"/>
  <c r="Q147" i="14"/>
  <c r="M147" i="14"/>
  <c r="AC213" i="14"/>
  <c r="AE285" i="14"/>
  <c r="AI213" i="14"/>
  <c r="AG190" i="14"/>
  <c r="Y213" i="14"/>
  <c r="AA213" i="14"/>
  <c r="U147" i="14"/>
  <c r="AB184" i="14"/>
  <c r="AB291" i="14" s="1"/>
  <c r="AJ213" i="14"/>
  <c r="AL213" i="14"/>
  <c r="AB147" i="14"/>
  <c r="R190" i="14"/>
  <c r="Z147" i="14"/>
  <c r="AN147" i="14"/>
  <c r="AG213" i="14"/>
  <c r="AD147" i="14"/>
  <c r="U285" i="14"/>
  <c r="V190" i="14"/>
  <c r="I190" i="14"/>
  <c r="J190" i="14"/>
  <c r="AD213" i="14"/>
  <c r="AJ285" i="14"/>
  <c r="AF285" i="14"/>
  <c r="Y147" i="14"/>
  <c r="AK147" i="14"/>
  <c r="AK285" i="14"/>
  <c r="AA285" i="14"/>
  <c r="AH190" i="14"/>
  <c r="AL285" i="14"/>
  <c r="AJ190" i="14"/>
  <c r="AF147" i="14"/>
  <c r="AH147" i="14"/>
  <c r="AE213" i="14"/>
  <c r="AG226" i="14"/>
  <c r="Q285" i="14"/>
  <c r="L213" i="14"/>
  <c r="W285" i="14"/>
  <c r="T285" i="14"/>
  <c r="W213" i="14"/>
  <c r="S213" i="14"/>
  <c r="G285" i="14"/>
  <c r="I147" i="14"/>
  <c r="Q190" i="14"/>
  <c r="Z213" i="14"/>
  <c r="AH285" i="14"/>
  <c r="AC147" i="14"/>
  <c r="M190" i="14"/>
  <c r="T147" i="14"/>
  <c r="S147" i="14"/>
  <c r="S149" i="14" s="1"/>
  <c r="AG147" i="14"/>
  <c r="AE147" i="14"/>
  <c r="Z285" i="14"/>
  <c r="N190" i="14"/>
  <c r="K190" i="14"/>
  <c r="AN285" i="14"/>
  <c r="P226" i="14"/>
  <c r="U226" i="14"/>
  <c r="M226" i="14"/>
  <c r="W226" i="14"/>
  <c r="AL226" i="14"/>
  <c r="AE226" i="14"/>
  <c r="AD226" i="14"/>
  <c r="S226" i="14"/>
  <c r="AJ226" i="14"/>
  <c r="AH226" i="14"/>
  <c r="AF226" i="14"/>
  <c r="AO226" i="14"/>
  <c r="AA226" i="14"/>
  <c r="AI226" i="14"/>
  <c r="AJ147" i="14"/>
  <c r="W147" i="14"/>
  <c r="L147" i="14"/>
  <c r="P147" i="14"/>
  <c r="O147" i="14"/>
  <c r="V226" i="14"/>
  <c r="T226" i="14"/>
  <c r="Q226" i="14"/>
  <c r="O226" i="14"/>
  <c r="L226" i="14"/>
  <c r="AN226" i="14"/>
  <c r="R226" i="14"/>
  <c r="X226" i="14"/>
  <c r="AC226" i="14"/>
  <c r="Y226" i="14"/>
  <c r="AB226" i="14"/>
  <c r="Z226" i="14"/>
  <c r="AK226" i="14"/>
  <c r="N226" i="14"/>
  <c r="AF213" i="14"/>
  <c r="AF190" i="14"/>
  <c r="AO147" i="14"/>
  <c r="N298" i="14" l="1"/>
  <c r="AI298" i="14"/>
  <c r="S294" i="14"/>
  <c r="AB298" i="14"/>
  <c r="G298" i="14"/>
  <c r="AL298" i="14"/>
  <c r="AD298" i="14"/>
  <c r="J298" i="14"/>
  <c r="AM298" i="14"/>
  <c r="AK298" i="14"/>
  <c r="I298" i="14"/>
  <c r="U298" i="14"/>
  <c r="AC298" i="14"/>
  <c r="AN298" i="14"/>
  <c r="W298" i="14"/>
  <c r="H298" i="14"/>
  <c r="Y119" i="14"/>
  <c r="Y291" i="14"/>
  <c r="P298" i="14"/>
  <c r="AA119" i="14"/>
  <c r="AA291" i="14"/>
  <c r="AH298" i="14"/>
  <c r="AF298" i="14"/>
  <c r="AG298" i="14"/>
  <c r="E298" i="14"/>
  <c r="M298" i="14"/>
  <c r="AJ298" i="14"/>
  <c r="X119" i="14"/>
  <c r="X291" i="14"/>
  <c r="X298" i="14" s="1"/>
  <c r="L298" i="14"/>
  <c r="T298" i="14"/>
  <c r="S119" i="14"/>
  <c r="S291" i="14"/>
  <c r="S298" i="14" s="1"/>
  <c r="R119" i="14"/>
  <c r="R291" i="14"/>
  <c r="R298" i="14" s="1"/>
  <c r="AA294" i="14"/>
  <c r="Z119" i="14"/>
  <c r="Z291" i="14"/>
  <c r="Z298" i="14" s="1"/>
  <c r="V298" i="14"/>
  <c r="Y294" i="14"/>
  <c r="Q119" i="14"/>
  <c r="Q291" i="14"/>
  <c r="Q298" i="14" s="1"/>
  <c r="AO291" i="14"/>
  <c r="AO298" i="14" s="1"/>
  <c r="AX119" i="14"/>
  <c r="AZ119" i="14" s="1"/>
  <c r="AX294" i="14"/>
  <c r="AZ294" i="14" s="1"/>
  <c r="AX296" i="14"/>
  <c r="AZ296" i="14" s="1"/>
  <c r="AX295" i="14"/>
  <c r="AZ295" i="14" s="1"/>
  <c r="AX147" i="14"/>
  <c r="AZ147" i="14" s="1"/>
  <c r="AX293" i="14"/>
  <c r="AZ293" i="14" s="1"/>
  <c r="AX226" i="14"/>
  <c r="AZ226" i="14" s="1"/>
  <c r="AX292" i="14"/>
  <c r="AZ292" i="14" s="1"/>
  <c r="AX285" i="14"/>
  <c r="AZ285" i="14" s="1"/>
  <c r="AX190" i="14"/>
  <c r="AZ190" i="14" s="1"/>
  <c r="AO213" i="14"/>
  <c r="AX213" i="14" s="1"/>
  <c r="AZ213" i="14" s="1"/>
  <c r="P149" i="14"/>
  <c r="Q149" i="14"/>
  <c r="Z190" i="14"/>
  <c r="M120" i="14"/>
  <c r="T120" i="14"/>
  <c r="AD190" i="14"/>
  <c r="AC190" i="14"/>
  <c r="Y190" i="14"/>
  <c r="X190" i="14"/>
  <c r="J149" i="14"/>
  <c r="S120" i="14"/>
  <c r="L120" i="14"/>
  <c r="S190" i="14"/>
  <c r="N149" i="14"/>
  <c r="AB190" i="14"/>
  <c r="M149" i="14"/>
  <c r="T149" i="14"/>
  <c r="I149" i="14"/>
  <c r="O149" i="14"/>
  <c r="J120" i="14"/>
  <c r="L149" i="14"/>
  <c r="AA298" i="14" l="1"/>
  <c r="Y298" i="14"/>
  <c r="AX298" i="14"/>
  <c r="AZ298" i="14" s="1"/>
  <c r="AX291" i="14"/>
  <c r="AZ291" i="14" s="1"/>
  <c r="R120" i="14"/>
  <c r="Q120" i="14"/>
</calcChain>
</file>

<file path=xl/sharedStrings.xml><?xml version="1.0" encoding="utf-8"?>
<sst xmlns="http://schemas.openxmlformats.org/spreadsheetml/2006/main" count="1253" uniqueCount="364">
  <si>
    <t>DEGREE</t>
  </si>
  <si>
    <t>FY78</t>
  </si>
  <si>
    <t>Bachelors</t>
  </si>
  <si>
    <t>Masters</t>
  </si>
  <si>
    <t>Doctorate</t>
  </si>
  <si>
    <t xml:space="preserve">SCHOOL/COLLEGE                          </t>
  </si>
  <si>
    <t xml:space="preserve">  INTDEP-</t>
  </si>
  <si>
    <t>BS</t>
  </si>
  <si>
    <t>MS</t>
  </si>
  <si>
    <t>PHD</t>
  </si>
  <si>
    <t xml:space="preserve">  ANTHRO-</t>
  </si>
  <si>
    <t>Anthropology</t>
  </si>
  <si>
    <t>MA</t>
  </si>
  <si>
    <t>Chemistry</t>
  </si>
  <si>
    <t>Computer Science</t>
  </si>
  <si>
    <t xml:space="preserve">  ECONOM-</t>
  </si>
  <si>
    <t>Economics</t>
  </si>
  <si>
    <t>English</t>
  </si>
  <si>
    <t>German</t>
  </si>
  <si>
    <t xml:space="preserve">  HIST-</t>
  </si>
  <si>
    <t>History</t>
  </si>
  <si>
    <t>Mathematics</t>
  </si>
  <si>
    <t>Applied Mathematics</t>
  </si>
  <si>
    <t xml:space="preserve">  PHIL-</t>
  </si>
  <si>
    <t>Philosophy</t>
  </si>
  <si>
    <t>Physics</t>
  </si>
  <si>
    <t xml:space="preserve">  POL SC-</t>
  </si>
  <si>
    <t>Political Science</t>
  </si>
  <si>
    <t xml:space="preserve">  PSYCH-</t>
  </si>
  <si>
    <t>Psychology</t>
  </si>
  <si>
    <t>French</t>
  </si>
  <si>
    <t xml:space="preserve">  SOCIOL-</t>
  </si>
  <si>
    <t>Sociology</t>
  </si>
  <si>
    <t>BSBA</t>
  </si>
  <si>
    <t>Business Administration</t>
  </si>
  <si>
    <t>MBA</t>
  </si>
  <si>
    <t>EDUCATION, COLLEGE OF</t>
  </si>
  <si>
    <t>Educational Studies</t>
  </si>
  <si>
    <t>Early Childhood Education</t>
  </si>
  <si>
    <t>BSED</t>
  </si>
  <si>
    <t>Educational Administration</t>
  </si>
  <si>
    <t>MED</t>
  </si>
  <si>
    <t>Special Education</t>
  </si>
  <si>
    <t>Civil Engineering</t>
  </si>
  <si>
    <t>Electrical Engineering</t>
  </si>
  <si>
    <t>Mechanical Engineering</t>
  </si>
  <si>
    <t>Nursing</t>
  </si>
  <si>
    <t>BSN</t>
  </si>
  <si>
    <t>TOTAL-Nursing</t>
  </si>
  <si>
    <t>SOCIAL WORK, SCHOOL OF</t>
  </si>
  <si>
    <t xml:space="preserve">  SOC WK-</t>
  </si>
  <si>
    <t>BSW</t>
  </si>
  <si>
    <t>GRADUATE SCHOOL</t>
  </si>
  <si>
    <t>TOTAL-Graduate</t>
  </si>
  <si>
    <t>TOTAL</t>
  </si>
  <si>
    <t xml:space="preserve">  DEPT-</t>
  </si>
  <si>
    <t>BA</t>
  </si>
  <si>
    <t>BA,BS</t>
  </si>
  <si>
    <t xml:space="preserve">  TOTAL-All Programs</t>
  </si>
  <si>
    <t>TOTAL-Arts and Sciences</t>
  </si>
  <si>
    <t xml:space="preserve">  BIOL-</t>
  </si>
  <si>
    <t>Accounting</t>
  </si>
  <si>
    <t>GR CT</t>
  </si>
  <si>
    <t>Elementary Education</t>
  </si>
  <si>
    <t>Secondary Education</t>
  </si>
  <si>
    <t>TOTAL-Education</t>
  </si>
  <si>
    <t xml:space="preserve">  MUSIC-</t>
  </si>
  <si>
    <t>ARTS AND SCIENCES, COLLEGE OF</t>
  </si>
  <si>
    <t xml:space="preserve"> </t>
  </si>
  <si>
    <t>Biology</t>
  </si>
  <si>
    <t xml:space="preserve">  ENGLISH-</t>
  </si>
  <si>
    <t xml:space="preserve">Spanish </t>
  </si>
  <si>
    <t>BA,BM</t>
  </si>
  <si>
    <t xml:space="preserve">  PS AST-</t>
  </si>
  <si>
    <t xml:space="preserve">  BUS AD-</t>
  </si>
  <si>
    <t>MAcc</t>
  </si>
  <si>
    <t>Education</t>
  </si>
  <si>
    <t>Counseling</t>
  </si>
  <si>
    <t xml:space="preserve">           </t>
  </si>
  <si>
    <t xml:space="preserve">  OPTOM-</t>
  </si>
  <si>
    <t>Optometry</t>
  </si>
  <si>
    <t>OD</t>
  </si>
  <si>
    <t xml:space="preserve">  INTRA-</t>
  </si>
  <si>
    <t>Public Policy Administration</t>
  </si>
  <si>
    <t>International Studies</t>
  </si>
  <si>
    <t>UNIVERSITY OF MISSOURI - ST. LOUIS</t>
  </si>
  <si>
    <t>Creative Writing</t>
  </si>
  <si>
    <t>Physical Education</t>
  </si>
  <si>
    <t>BSPPA</t>
  </si>
  <si>
    <t>FY</t>
  </si>
  <si>
    <t>3-Year</t>
  </si>
  <si>
    <t>Average</t>
  </si>
  <si>
    <t>Liberal Studies</t>
  </si>
  <si>
    <t>Public Policy &amp; Administration</t>
  </si>
  <si>
    <t>Environmental Sciences</t>
  </si>
  <si>
    <t>Plant Sciences</t>
  </si>
  <si>
    <t>ALL DEPTS-All Programs</t>
  </si>
  <si>
    <t xml:space="preserve">  ART-AH-</t>
  </si>
  <si>
    <t xml:space="preserve">  CH&amp;BIO-</t>
  </si>
  <si>
    <t xml:space="preserve">  CR JUS-</t>
  </si>
  <si>
    <t xml:space="preserve">  F L&amp;L-</t>
  </si>
  <si>
    <t xml:space="preserve">  MTH CS-</t>
  </si>
  <si>
    <t>MS (8)</t>
  </si>
  <si>
    <t>TOTAL-Business Administration</t>
  </si>
  <si>
    <t>BUSINESS ADMINISTRATION, COLLEGE OF</t>
  </si>
  <si>
    <t xml:space="preserve">  GR GER-</t>
  </si>
  <si>
    <t xml:space="preserve">  GR PPA-</t>
  </si>
  <si>
    <t>TOTAL-Optometry</t>
  </si>
  <si>
    <t>PROGRAM</t>
  </si>
  <si>
    <t>Health Sciences</t>
  </si>
  <si>
    <t>Psych.-Clinical Respecial.</t>
  </si>
  <si>
    <t xml:space="preserve">  W/SJEP</t>
  </si>
  <si>
    <t>PHD (1)</t>
  </si>
  <si>
    <t>(1) Added 4/86</t>
  </si>
  <si>
    <t>(2) Added 3/87</t>
  </si>
  <si>
    <t>MS (2)</t>
  </si>
  <si>
    <t>(3) Added 4/88</t>
  </si>
  <si>
    <t>(4) Added 6/88</t>
  </si>
  <si>
    <t>PHD (4)</t>
  </si>
  <si>
    <t>MA (3)</t>
  </si>
  <si>
    <t>GR CT (15)</t>
  </si>
  <si>
    <t>Grad. Certif.</t>
  </si>
  <si>
    <t>All</t>
  </si>
  <si>
    <t>First Profes.</t>
  </si>
  <si>
    <t>-</t>
  </si>
  <si>
    <t>N/A</t>
  </si>
  <si>
    <t>Ed. Specialist</t>
  </si>
  <si>
    <t>(14) Added 1/95</t>
  </si>
  <si>
    <t>(15) Added 6/95</t>
  </si>
  <si>
    <t>(16) Added 12/95</t>
  </si>
  <si>
    <t>(17) Added 3/97</t>
  </si>
  <si>
    <t>(18) Added 5/97</t>
  </si>
  <si>
    <t>(19) Added 9/97</t>
  </si>
  <si>
    <t>GR CT (19)</t>
  </si>
  <si>
    <t>GR CT (16)</t>
  </si>
  <si>
    <t>BHS (20)</t>
  </si>
  <si>
    <t>BSEE (10)</t>
  </si>
  <si>
    <t>BSME (10)</t>
  </si>
  <si>
    <t>BSCIE (13)</t>
  </si>
  <si>
    <t>PHD (8)</t>
  </si>
  <si>
    <t>PHD (11)</t>
  </si>
  <si>
    <t>MSN (6)</t>
  </si>
  <si>
    <t>BSAcc (18)</t>
  </si>
  <si>
    <t>PHD (5)</t>
  </si>
  <si>
    <t>MME (14)</t>
  </si>
  <si>
    <t>MFA (17)</t>
  </si>
  <si>
    <t>PHD (16)</t>
  </si>
  <si>
    <t>BFA (15)</t>
  </si>
  <si>
    <t>EDD,PHD (22)</t>
  </si>
  <si>
    <t>(24) Added 6/98</t>
  </si>
  <si>
    <t>MPPA (23)</t>
  </si>
  <si>
    <t>MSW (25)</t>
  </si>
  <si>
    <t>TOTAL-Social Work</t>
  </si>
  <si>
    <t>Criminology &amp; Crmnl. Just. (9)</t>
  </si>
  <si>
    <t>(26) Added 9/99</t>
  </si>
  <si>
    <t>(28) Extensive reorganization affected placement of degrees to a small extent in FY99 and fully in FY00. See earlier reports for previous structures.</t>
  </si>
  <si>
    <t>(27) Added 10/99</t>
  </si>
  <si>
    <t>MA (27)</t>
  </si>
  <si>
    <t>Grad. Certificate Programs (29)</t>
  </si>
  <si>
    <t xml:space="preserve">  INTDEP- (28)</t>
  </si>
  <si>
    <t xml:space="preserve">  CNSL- (28)</t>
  </si>
  <si>
    <t xml:space="preserve">  ED LD- (28)</t>
  </si>
  <si>
    <t xml:space="preserve">  TCH LR- (28)</t>
  </si>
  <si>
    <t>Museum Studies</t>
  </si>
  <si>
    <t>Institutional Research</t>
  </si>
  <si>
    <t>GR CT (33)</t>
  </si>
  <si>
    <t>Neuroscience</t>
  </si>
  <si>
    <t>OPTOMETRY, COLLEGE OF</t>
  </si>
  <si>
    <t>NURSING, COLLEGE OF</t>
  </si>
  <si>
    <t>Adult &amp; Higher Education</t>
  </si>
  <si>
    <t>5-Year</t>
  </si>
  <si>
    <t>10-Year</t>
  </si>
  <si>
    <t xml:space="preserve">  10-Year Avg.</t>
  </si>
  <si>
    <t xml:space="preserve">  relative to the</t>
  </si>
  <si>
    <t>Biochemistry &amp; Biotechnology</t>
  </si>
  <si>
    <t xml:space="preserve">  ED PSY-</t>
  </si>
  <si>
    <t>School Psychology</t>
  </si>
  <si>
    <t>PHD (17)</t>
  </si>
  <si>
    <t>ENGINEERING PROGRAM</t>
  </si>
  <si>
    <t>TOTAL-Engineering Program</t>
  </si>
  <si>
    <t xml:space="preserve">  NURSE- (12)</t>
  </si>
  <si>
    <t>EVENING COLLEGE</t>
  </si>
  <si>
    <t>TOTAL-Evening</t>
  </si>
  <si>
    <t>BSIS,BSMIS(24)</t>
  </si>
  <si>
    <t>GR CT (34)</t>
  </si>
  <si>
    <t>BES (32)</t>
  </si>
  <si>
    <t>(32) Added 10/01</t>
  </si>
  <si>
    <t>PHD (31)</t>
  </si>
  <si>
    <t>(31) Added 3/01</t>
  </si>
  <si>
    <t>U-Grad. Certif.</t>
  </si>
  <si>
    <t xml:space="preserve"> TDMS-</t>
  </si>
  <si>
    <t>Nonprofit Org. Mgmt. &amp; Leader.</t>
  </si>
  <si>
    <t>(7) Changed from Speech Communication 8/89.</t>
  </si>
  <si>
    <t>(9) Changed from Administrative Justice 12/91.</t>
  </si>
  <si>
    <t>(12) Barnes College of Nursing and School of Nursing merged 6/94.</t>
  </si>
  <si>
    <t>(22) Added PHD 3/98.</t>
  </si>
  <si>
    <t>(23) Changed from BSPA Public Administration 3/98.</t>
  </si>
  <si>
    <t>(25) Added 7/98 as coop with UMC and UMKC.</t>
  </si>
  <si>
    <t>(5) Added 6/88 as co-op with UMR.</t>
  </si>
  <si>
    <t>(6) Added 2/89 as co-op with UMKC.</t>
  </si>
  <si>
    <t>(11) Added 3/93 as co-op with UMC and UMKC.</t>
  </si>
  <si>
    <t>(13) Added 7/94 as co-op with Washington Univ.</t>
  </si>
  <si>
    <t>Local Government Management</t>
  </si>
  <si>
    <t>(10) Added 1/93 as co-op with Washington Univ.</t>
  </si>
  <si>
    <t>Teaching of Writing</t>
  </si>
  <si>
    <t>Program Evaluation &amp; Assessment</t>
  </si>
  <si>
    <t>DNP</t>
  </si>
  <si>
    <t>(30) Moved from Arts &amp; Sciences to Fine Arts &amp; Communication in FY02, FY03, FY04, FY05, FY06, FY07, FY08, &amp; FY09.</t>
  </si>
  <si>
    <t>Teaching English</t>
  </si>
  <si>
    <t>Autism Studies</t>
  </si>
  <si>
    <t>(20) Added 1/98.  Inactive 11/04.</t>
  </si>
  <si>
    <t>(21) Changed from Women's Studies 3/98. Changed from Women's and Gender Studies 4/12.</t>
  </si>
  <si>
    <t>Gender Studies (21)</t>
  </si>
  <si>
    <t>Modern Languages</t>
  </si>
  <si>
    <t>Trauma Studies</t>
  </si>
  <si>
    <t>(51) Added 4/10</t>
  </si>
  <si>
    <t>GR CT (51)</t>
  </si>
  <si>
    <t>(50) Changed from Physiological Optics 5/08.</t>
  </si>
  <si>
    <t>Vision Science (50)</t>
  </si>
  <si>
    <t>(49) Inactive 2/08</t>
  </si>
  <si>
    <t>(48) Added 2/08</t>
  </si>
  <si>
    <t>GR CT (48)</t>
  </si>
  <si>
    <t>(47) Moved from Graduate School to Arts &amp; Sciences, Social Work Dept. in FY08.</t>
  </si>
  <si>
    <t>Gerontology (47)</t>
  </si>
  <si>
    <t>(46) Added 1/07</t>
  </si>
  <si>
    <t>BS (46)</t>
  </si>
  <si>
    <t>(44) Added 6/06</t>
  </si>
  <si>
    <t>GR CT (44)</t>
  </si>
  <si>
    <t>(43) Changed from BGS General Studies to BIS Interdisciplinary Studies 1/06.</t>
  </si>
  <si>
    <t>Interdisciplinary Studies (43)</t>
  </si>
  <si>
    <t>BIS (43)</t>
  </si>
  <si>
    <t>(42) Administered under the Graduate School FY06.</t>
  </si>
  <si>
    <t xml:space="preserve">  EVE CO- (42)</t>
  </si>
  <si>
    <t>(41) Added 9/05</t>
  </si>
  <si>
    <t>(40) Added 9/04</t>
  </si>
  <si>
    <t>BLS (40)</t>
  </si>
  <si>
    <t>MED (40)</t>
  </si>
  <si>
    <t>EDSP (40)</t>
  </si>
  <si>
    <t>(39) Added 3/04</t>
  </si>
  <si>
    <t>GR CT (39)</t>
  </si>
  <si>
    <t>(38) Added 1/04</t>
  </si>
  <si>
    <t>BS (38)</t>
  </si>
  <si>
    <t>MS (38)</t>
  </si>
  <si>
    <t>(37) Added 9/03</t>
  </si>
  <si>
    <t>GR CT (37)</t>
  </si>
  <si>
    <t>(36) Changed from BS Applied Mathematics 7/03.</t>
  </si>
  <si>
    <t>BA,BS (36)</t>
  </si>
  <si>
    <t>(35) Added 3/03</t>
  </si>
  <si>
    <t>GR CT (35)</t>
  </si>
  <si>
    <t>GR CT (35) (49)</t>
  </si>
  <si>
    <t>(34) Added 9/02</t>
  </si>
  <si>
    <t>(33) Added 8/02</t>
  </si>
  <si>
    <t>(8) Added 9/90.  Inactive 4/13.</t>
  </si>
  <si>
    <t>(53) Discontinued 3/11</t>
  </si>
  <si>
    <t>BM (53)</t>
  </si>
  <si>
    <t>(54) Moved from Intedepartment in FY12.</t>
  </si>
  <si>
    <t>Biotechnology (54)</t>
  </si>
  <si>
    <t>Student Affairs Adm. &amp; Leadership</t>
  </si>
  <si>
    <t>Educational Psychology</t>
  </si>
  <si>
    <t>Actuarial Studies</t>
  </si>
  <si>
    <t>Gender Studies</t>
  </si>
  <si>
    <t>Women's Leadership</t>
  </si>
  <si>
    <t>General Studies (43)</t>
  </si>
  <si>
    <t>BGS (43)</t>
  </si>
  <si>
    <t>(52) Seperated into Adult-Geriatric Nurse Practitioner, Family Nurse Practitioner, Nurse Practitioner, Pediatric Nurse Practitioner, and Women's Health Nurse Practitioner 4/10.</t>
  </si>
  <si>
    <t>Applied Econometrics &amp; Data Analysis</t>
  </si>
  <si>
    <t>Policy and Program Evaluation</t>
  </si>
  <si>
    <t>Evolutionary Studies</t>
  </si>
  <si>
    <t>Child Advocacy Studies</t>
  </si>
  <si>
    <t xml:space="preserve">  MIL&amp;VET-</t>
  </si>
  <si>
    <t>Veteran Studies</t>
  </si>
  <si>
    <t>U CT (64)</t>
  </si>
  <si>
    <t>(58) Inactive 4/12</t>
  </si>
  <si>
    <t>BA (58)</t>
  </si>
  <si>
    <t>MA (58)</t>
  </si>
  <si>
    <t>(57) Added 4/12</t>
  </si>
  <si>
    <t>U CT (57)</t>
  </si>
  <si>
    <t>(56) Added 2/12</t>
  </si>
  <si>
    <t>BA (56)</t>
  </si>
  <si>
    <t>(55) Added 10/11</t>
  </si>
  <si>
    <t>U CT (55)</t>
  </si>
  <si>
    <t>Public History &amp; Cultural Heritage</t>
  </si>
  <si>
    <t>GR CT (63)</t>
  </si>
  <si>
    <t>Social Justice in Education</t>
  </si>
  <si>
    <t>Applied Behavior Analysis</t>
  </si>
  <si>
    <t>GR CT (59)</t>
  </si>
  <si>
    <t xml:space="preserve">  COM&amp;MED-</t>
  </si>
  <si>
    <t>Secondary School Teaching</t>
  </si>
  <si>
    <t>Early Childhood Teaching</t>
  </si>
  <si>
    <t>Elementary School Teaching</t>
  </si>
  <si>
    <t>Cybersecurity</t>
  </si>
  <si>
    <t>Internet and Web</t>
  </si>
  <si>
    <t>Workplace &amp; Organizational Science</t>
  </si>
  <si>
    <t>U CT</t>
  </si>
  <si>
    <t>Health Communication</t>
  </si>
  <si>
    <t>Technical Writing</t>
  </si>
  <si>
    <t>Adv. Credit Prog. in Instr. Comm.</t>
  </si>
  <si>
    <t>Media Production</t>
  </si>
  <si>
    <t>Art History (30) (72)</t>
  </si>
  <si>
    <t>Studio Art (30) (72)</t>
  </si>
  <si>
    <t>Communication (7) (30) (72)</t>
  </si>
  <si>
    <t>Media Studies (72)</t>
  </si>
  <si>
    <t>Music (30) (72)</t>
  </si>
  <si>
    <t>Music Education (30) (72)</t>
  </si>
  <si>
    <t>Film Studies (72)</t>
  </si>
  <si>
    <t>U CT (71)</t>
  </si>
  <si>
    <t>(71) Added 12/16</t>
  </si>
  <si>
    <t>(70) Add Advanced Nursing Practice with Educator Functional Role and Acute Care Pediatric Nurse Practitioner 9/16.</t>
  </si>
  <si>
    <t>(69) Moved from Arts &amp; Sciences to Social Work in FY16.</t>
  </si>
  <si>
    <t>U CT (68)</t>
  </si>
  <si>
    <t>GR CT (68)</t>
  </si>
  <si>
    <t>(68) Added 9/15</t>
  </si>
  <si>
    <t>Theater Arts (41) (67) (72)</t>
  </si>
  <si>
    <t>(67) Changed from Theatre and Dance 9/15.</t>
  </si>
  <si>
    <t>(66) Add Psychiatric-Mental Health Nurse Practitioner and Nurse Educator 2/15.</t>
  </si>
  <si>
    <t>U CT (65)</t>
  </si>
  <si>
    <t>(65) Added 9/14</t>
  </si>
  <si>
    <t>(64) Added 9/13</t>
  </si>
  <si>
    <t>(63) Added 4/13</t>
  </si>
  <si>
    <t>MED (62)</t>
  </si>
  <si>
    <t>(62) Added 12/12</t>
  </si>
  <si>
    <t>U CT (61)</t>
  </si>
  <si>
    <t>(61) Added 9/12</t>
  </si>
  <si>
    <t>Long Term Care Admin. (47) (60)</t>
  </si>
  <si>
    <t>(60) Discontinued 6/12</t>
  </si>
  <si>
    <t>(59) Added 6/12</t>
  </si>
  <si>
    <t>(72) Moved from Fine Arts &amp; Communication to Arts &amp; Sciences in FY17.</t>
  </si>
  <si>
    <t>(45) Changed from Management Information Systems 8/06.  Changed from Information Systems 6/19.</t>
  </si>
  <si>
    <t>Information Sys. &amp; Technology (45)</t>
  </si>
  <si>
    <t xml:space="preserve">  Change in FY19</t>
  </si>
  <si>
    <t>International Relations</t>
  </si>
  <si>
    <t>Interdisciplinary Entrepreneurship</t>
  </si>
  <si>
    <t>Computer Programming</t>
  </si>
  <si>
    <t>(77) Changed from Tropical Biology and Conservation 7/18.</t>
  </si>
  <si>
    <t>Global Biodiversity Consrv. &amp; Ldrs.(77)</t>
  </si>
  <si>
    <t>(76) Added 7/18</t>
  </si>
  <si>
    <t>U CT (76)</t>
  </si>
  <si>
    <t>(75) Added 2/18</t>
  </si>
  <si>
    <t>(74) Deleted 1/18</t>
  </si>
  <si>
    <t>GR CT (26) (74)</t>
  </si>
  <si>
    <t>GR CT (64) (74)</t>
  </si>
  <si>
    <t>BSED (74)</t>
  </si>
  <si>
    <t>(73) Added 12/17</t>
  </si>
  <si>
    <t>U CT (73)</t>
  </si>
  <si>
    <t>UM-IR/RS  8/19</t>
  </si>
  <si>
    <t>GR CT (65)</t>
  </si>
  <si>
    <t>Business Intelligence</t>
  </si>
  <si>
    <t>Digital and Social Media Marketing</t>
  </si>
  <si>
    <t>Logistics and Supply Chain Management</t>
  </si>
  <si>
    <t>Post-Grad. Family Nurse Practitioner</t>
  </si>
  <si>
    <t>Post-Grad. Pediatric Nurse Practitioner</t>
  </si>
  <si>
    <t>Post-Grad. Adult-Geriatric Nurse Practitioner</t>
  </si>
  <si>
    <t>Post-Grad. Nurse Educator</t>
  </si>
  <si>
    <t>Human Resource Management</t>
  </si>
  <si>
    <t>Marketing Management</t>
  </si>
  <si>
    <t>Post-Grad. Women's Health Nurse Practitioner</t>
  </si>
  <si>
    <t>Post-Grad. Psychiatric Nurse Practitioner</t>
  </si>
  <si>
    <t>GR CT (61)</t>
  </si>
  <si>
    <t>(29) In FY00, all graduate certificate programs were combined for reporting purposes. Prior individually reported certificate programs were likewise combined.  In FY09 they where again separated.</t>
  </si>
  <si>
    <t>GR CT (66)</t>
  </si>
  <si>
    <t>Post-MSN Nurse Pract.(52)(66)(70)</t>
  </si>
  <si>
    <t>Social Work (68)(69)</t>
  </si>
  <si>
    <t>UNIVERSITY OF MISSOURI-ST. LOUIS</t>
  </si>
  <si>
    <t>TABLE 3-1. DEGREES &amp; CERTIFICATES AWARDED BY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</si>
</sst>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8"/>
      <name val="Times New Roman"/>
    </font>
    <font>
      <sz val="8"/>
      <name val="Times New Roman"/>
      <family val="1"/>
    </font>
    <font>
      <b/>
      <sz val="8"/>
      <name val="DUTCH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DUTCH"/>
      <family val="1"/>
    </font>
    <font>
      <sz val="12"/>
      <name val="Times New Roman"/>
      <family val="1"/>
    </font>
    <font>
      <b/>
      <sz val="12"/>
      <name val="DUTCH"/>
    </font>
    <font>
      <b/>
      <sz val="11"/>
      <name val="Times New Roman"/>
      <family val="1"/>
    </font>
    <font>
      <b/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1" fillId="0" borderId="0" xfId="0" applyFont="1" applyFill="1" applyAlignment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/>
    <xf numFmtId="0" fontId="1" fillId="0" borderId="0" xfId="0" applyFont="1" applyFill="1" applyBorder="1" applyAlignment="1" applyProtection="1"/>
    <xf numFmtId="9" fontId="1" fillId="0" borderId="0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9" fontId="1" fillId="0" borderId="0" xfId="0" applyNumberFormat="1" applyFont="1" applyFill="1" applyBorder="1" applyAlignment="1" applyProtection="1"/>
    <xf numFmtId="0" fontId="1" fillId="0" borderId="2" xfId="0" applyFont="1" applyFill="1" applyBorder="1" applyAlignment="1">
      <alignment horizontal="left"/>
    </xf>
    <xf numFmtId="0" fontId="3" fillId="0" borderId="1" xfId="0" applyFont="1" applyFill="1" applyBorder="1" applyProtection="1"/>
    <xf numFmtId="0" fontId="1" fillId="0" borderId="1" xfId="0" applyFont="1" applyFill="1" applyBorder="1"/>
    <xf numFmtId="0" fontId="3" fillId="0" borderId="0" xfId="0" applyFont="1" applyFill="1" applyBorder="1" applyProtection="1"/>
    <xf numFmtId="0" fontId="1" fillId="0" borderId="0" xfId="0" applyFont="1" applyFill="1" applyBorder="1"/>
    <xf numFmtId="0" fontId="3" fillId="0" borderId="0" xfId="0" applyFont="1" applyFill="1" applyBorder="1" applyAlignment="1" applyProtection="1"/>
    <xf numFmtId="0" fontId="1" fillId="0" borderId="0" xfId="0" applyFont="1" applyFill="1" applyAlignme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1" fillId="0" borderId="3" xfId="0" applyFont="1" applyFill="1" applyBorder="1"/>
    <xf numFmtId="0" fontId="0" fillId="0" borderId="0" xfId="0" applyFill="1"/>
    <xf numFmtId="0" fontId="9" fillId="0" borderId="0" xfId="0" applyFont="1" applyFill="1" applyBorder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37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9" fontId="1" fillId="0" borderId="0" xfId="0" applyNumberFormat="1" applyFont="1" applyFill="1" applyBorder="1"/>
    <xf numFmtId="0" fontId="1" fillId="0" borderId="0" xfId="0" applyFont="1" applyFill="1" applyBorder="1" applyAlignment="1" applyProtection="1">
      <alignment wrapText="1"/>
    </xf>
    <xf numFmtId="1" fontId="1" fillId="0" borderId="0" xfId="0" applyNumberFormat="1" applyFont="1" applyFill="1" applyBorder="1" applyProtection="1"/>
    <xf numFmtId="3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47625</xdr:rowOff>
    </xdr:from>
    <xdr:to>
      <xdr:col>2</xdr:col>
      <xdr:colOff>581025</xdr:colOff>
      <xdr:row>5</xdr:row>
      <xdr:rowOff>88392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0025"/>
          <a:ext cx="1257300" cy="76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E719"/>
  <sheetViews>
    <sheetView showGridLines="0" tabSelected="1" defaultGridColor="0" colorId="22" zoomScaleNormal="100" zoomScaleSheetLayoutView="100" workbookViewId="0">
      <pane xSplit="4" ySplit="10" topLeftCell="AK11" activePane="bottomRight" state="frozenSplit"/>
      <selection sqref="A1:AH1"/>
      <selection pane="topRight" sqref="A1:AH1"/>
      <selection pane="bottomLeft" sqref="A1:AH1"/>
      <selection pane="bottomRight" activeCell="AK11" sqref="AK11"/>
    </sheetView>
  </sheetViews>
  <sheetFormatPr defaultColWidth="9.83203125" defaultRowHeight="11.25"/>
  <cols>
    <col min="1" max="1" width="2.5" style="15" customWidth="1"/>
    <col min="2" max="2" width="15.83203125" style="4" customWidth="1"/>
    <col min="3" max="3" width="39.5" style="4" customWidth="1"/>
    <col min="4" max="4" width="15.83203125" style="4" customWidth="1"/>
    <col min="5" max="5" width="5.5" style="4" hidden="1" customWidth="1"/>
    <col min="6" max="22" width="5.33203125" style="4" hidden="1" customWidth="1"/>
    <col min="23" max="36" width="5.83203125" style="4" hidden="1" customWidth="1"/>
    <col min="37" max="46" width="5.83203125" style="4" customWidth="1"/>
    <col min="47" max="47" width="1.83203125" style="4" customWidth="1"/>
    <col min="48" max="50" width="8.83203125" style="4" customWidth="1"/>
    <col min="51" max="51" width="1.83203125" style="4" customWidth="1"/>
    <col min="52" max="52" width="7.83203125" style="4" customWidth="1"/>
    <col min="53" max="53" width="6.83203125" style="4" customWidth="1"/>
    <col min="54" max="54" width="2.6640625" style="4" customWidth="1"/>
    <col min="55" max="16384" width="9.83203125" style="4"/>
  </cols>
  <sheetData>
    <row r="1" spans="1:83" ht="12" thickBot="1"/>
    <row r="2" spans="1:83" s="24" customFormat="1" ht="14.25" customHeight="1" thickTop="1">
      <c r="A2" s="21"/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s="24" customFormat="1" ht="14.25" customHeight="1">
      <c r="A3" s="21"/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5" t="s">
        <v>362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</row>
    <row r="4" spans="1:83" s="24" customFormat="1" ht="14.25" customHeight="1">
      <c r="A4" s="21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5" t="s">
        <v>363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 s="21" customFormat="1" ht="14.25" customHeight="1" thickBot="1"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1:83" s="24" customFormat="1" ht="14.25" customHeight="1" thickTop="1">
      <c r="A6" s="21"/>
      <c r="B6" s="21"/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1"/>
      <c r="AV6" s="21"/>
      <c r="AW6" s="21"/>
      <c r="AX6" s="21"/>
      <c r="AY6" s="21"/>
      <c r="AZ6" s="21"/>
      <c r="BA6" s="21"/>
      <c r="BB6" s="21"/>
      <c r="BC6" s="21"/>
    </row>
    <row r="7" spans="1:83" ht="11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2"/>
      <c r="AV7" s="2"/>
      <c r="AW7" s="2"/>
      <c r="AX7" s="13"/>
      <c r="AY7" s="13"/>
      <c r="AZ7" s="13"/>
      <c r="BA7" s="13"/>
    </row>
    <row r="8" spans="1:83" ht="12" customHeight="1" thickTop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4"/>
      <c r="AV8" s="9"/>
      <c r="AW8" s="9"/>
      <c r="AX8" s="15"/>
      <c r="AY8" s="15"/>
      <c r="AZ8" s="11" t="s">
        <v>329</v>
      </c>
    </row>
    <row r="9" spans="1:83" s="34" customFormat="1" ht="11.25" customHeight="1">
      <c r="A9" s="35"/>
      <c r="B9" s="26" t="s">
        <v>5</v>
      </c>
      <c r="C9" s="26"/>
      <c r="D9" s="26"/>
      <c r="E9" s="27" t="s">
        <v>89</v>
      </c>
      <c r="F9" s="27" t="s">
        <v>89</v>
      </c>
      <c r="G9" s="27" t="s">
        <v>89</v>
      </c>
      <c r="H9" s="27" t="s">
        <v>89</v>
      </c>
      <c r="I9" s="27" t="s">
        <v>89</v>
      </c>
      <c r="J9" s="27" t="s">
        <v>89</v>
      </c>
      <c r="K9" s="27" t="s">
        <v>89</v>
      </c>
      <c r="L9" s="27" t="s">
        <v>89</v>
      </c>
      <c r="M9" s="27" t="s">
        <v>89</v>
      </c>
      <c r="N9" s="27" t="s">
        <v>89</v>
      </c>
      <c r="O9" s="27" t="s">
        <v>89</v>
      </c>
      <c r="P9" s="27" t="s">
        <v>89</v>
      </c>
      <c r="Q9" s="27" t="s">
        <v>89</v>
      </c>
      <c r="R9" s="27" t="s">
        <v>89</v>
      </c>
      <c r="S9" s="27" t="s">
        <v>89</v>
      </c>
      <c r="T9" s="27" t="s">
        <v>89</v>
      </c>
      <c r="U9" s="27" t="s">
        <v>89</v>
      </c>
      <c r="V9" s="27" t="s">
        <v>89</v>
      </c>
      <c r="W9" s="28" t="s">
        <v>89</v>
      </c>
      <c r="X9" s="28" t="s">
        <v>89</v>
      </c>
      <c r="Y9" s="28" t="s">
        <v>89</v>
      </c>
      <c r="Z9" s="28" t="s">
        <v>89</v>
      </c>
      <c r="AA9" s="28" t="s">
        <v>89</v>
      </c>
      <c r="AB9" s="28" t="s">
        <v>89</v>
      </c>
      <c r="AC9" s="28" t="s">
        <v>89</v>
      </c>
      <c r="AD9" s="28" t="s">
        <v>89</v>
      </c>
      <c r="AE9" s="28" t="s">
        <v>89</v>
      </c>
      <c r="AF9" s="28" t="s">
        <v>89</v>
      </c>
      <c r="AG9" s="28" t="s">
        <v>89</v>
      </c>
      <c r="AH9" s="28" t="s">
        <v>89</v>
      </c>
      <c r="AI9" s="28" t="s">
        <v>89</v>
      </c>
      <c r="AJ9" s="28" t="s">
        <v>89</v>
      </c>
      <c r="AK9" s="28" t="s">
        <v>89</v>
      </c>
      <c r="AL9" s="28" t="s">
        <v>89</v>
      </c>
      <c r="AM9" s="28" t="s">
        <v>89</v>
      </c>
      <c r="AN9" s="28" t="s">
        <v>89</v>
      </c>
      <c r="AO9" s="28" t="s">
        <v>89</v>
      </c>
      <c r="AP9" s="28" t="s">
        <v>89</v>
      </c>
      <c r="AQ9" s="28" t="s">
        <v>89</v>
      </c>
      <c r="AR9" s="28" t="s">
        <v>89</v>
      </c>
      <c r="AS9" s="28" t="s">
        <v>89</v>
      </c>
      <c r="AT9" s="28" t="s">
        <v>89</v>
      </c>
      <c r="AU9" s="27"/>
      <c r="AV9" s="29"/>
      <c r="AW9" s="30" t="s">
        <v>91</v>
      </c>
      <c r="AX9" s="31"/>
      <c r="AY9" s="31"/>
      <c r="AZ9" s="32" t="s">
        <v>173</v>
      </c>
      <c r="BA9" s="33"/>
    </row>
    <row r="10" spans="1:83" s="34" customFormat="1" ht="11.25" customHeight="1">
      <c r="A10" s="35"/>
      <c r="B10" s="14" t="s">
        <v>55</v>
      </c>
      <c r="C10" s="14" t="s">
        <v>108</v>
      </c>
      <c r="D10" s="14" t="s">
        <v>0</v>
      </c>
      <c r="E10" s="37" t="s">
        <v>1</v>
      </c>
      <c r="F10" s="38">
        <v>1979</v>
      </c>
      <c r="G10" s="38">
        <v>1980</v>
      </c>
      <c r="H10" s="38">
        <v>1981</v>
      </c>
      <c r="I10" s="38">
        <v>1982</v>
      </c>
      <c r="J10" s="38">
        <v>1983</v>
      </c>
      <c r="K10" s="38">
        <v>1984</v>
      </c>
      <c r="L10" s="38">
        <v>1985</v>
      </c>
      <c r="M10" s="38">
        <v>1986</v>
      </c>
      <c r="N10" s="38">
        <v>1987</v>
      </c>
      <c r="O10" s="38">
        <v>1988</v>
      </c>
      <c r="P10" s="38">
        <v>1989</v>
      </c>
      <c r="Q10" s="38">
        <v>1990</v>
      </c>
      <c r="R10" s="38">
        <v>1991</v>
      </c>
      <c r="S10" s="38">
        <v>1992</v>
      </c>
      <c r="T10" s="38">
        <v>1993</v>
      </c>
      <c r="U10" s="38">
        <v>1994</v>
      </c>
      <c r="V10" s="38">
        <v>1995</v>
      </c>
      <c r="W10" s="37">
        <v>1996</v>
      </c>
      <c r="X10" s="37">
        <v>1997</v>
      </c>
      <c r="Y10" s="37">
        <v>1998</v>
      </c>
      <c r="Z10" s="37">
        <v>1999</v>
      </c>
      <c r="AA10" s="37">
        <v>2000</v>
      </c>
      <c r="AB10" s="37">
        <v>2001</v>
      </c>
      <c r="AC10" s="37">
        <v>2002</v>
      </c>
      <c r="AD10" s="37">
        <v>2003</v>
      </c>
      <c r="AE10" s="37">
        <v>2004</v>
      </c>
      <c r="AF10" s="37">
        <v>2005</v>
      </c>
      <c r="AG10" s="37">
        <v>2006</v>
      </c>
      <c r="AH10" s="37">
        <v>2007</v>
      </c>
      <c r="AI10" s="37">
        <v>2008</v>
      </c>
      <c r="AJ10" s="37">
        <v>2009</v>
      </c>
      <c r="AK10" s="37">
        <v>2010</v>
      </c>
      <c r="AL10" s="37">
        <v>2011</v>
      </c>
      <c r="AM10" s="37">
        <v>2012</v>
      </c>
      <c r="AN10" s="37">
        <v>2013</v>
      </c>
      <c r="AO10" s="37">
        <v>2014</v>
      </c>
      <c r="AP10" s="37">
        <v>2015</v>
      </c>
      <c r="AQ10" s="37">
        <v>2016</v>
      </c>
      <c r="AR10" s="37">
        <v>2017</v>
      </c>
      <c r="AS10" s="37">
        <v>2018</v>
      </c>
      <c r="AT10" s="37">
        <v>2019</v>
      </c>
      <c r="AU10" s="38"/>
      <c r="AV10" s="29" t="s">
        <v>90</v>
      </c>
      <c r="AW10" s="39" t="s">
        <v>170</v>
      </c>
      <c r="AX10" s="39" t="s">
        <v>171</v>
      </c>
      <c r="AY10" s="39"/>
      <c r="AZ10" s="32" t="s">
        <v>172</v>
      </c>
      <c r="BA10" s="40"/>
    </row>
    <row r="11" spans="1:83" ht="22.5" customHeight="1">
      <c r="B11" s="20" t="s">
        <v>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41"/>
      <c r="AZ11" s="41"/>
      <c r="BA11" s="41"/>
    </row>
    <row r="12" spans="1:83" ht="11.25" customHeight="1"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10" t="str">
        <f>IF(Y12&gt;0,IF(Y12&gt;0,(Y12-X12)/Y12,"&lt;10 cases"),"")</f>
        <v/>
      </c>
      <c r="AW12" s="45" t="str">
        <f>IF(SUM(F12:Y12)&gt;0,SUM(F12:Y12),"")</f>
        <v/>
      </c>
      <c r="AX12" s="5"/>
      <c r="AY12" s="15"/>
      <c r="AZ12" s="15"/>
      <c r="BA12" s="15"/>
    </row>
    <row r="13" spans="1:83" ht="11.25" customHeight="1">
      <c r="B13" s="5" t="s">
        <v>6</v>
      </c>
      <c r="C13" s="5" t="s">
        <v>174</v>
      </c>
      <c r="D13" s="5" t="s">
        <v>241</v>
      </c>
      <c r="E13" s="5"/>
      <c r="F13" s="5"/>
      <c r="G13" s="5"/>
      <c r="H13" s="5"/>
      <c r="I13" s="46"/>
      <c r="J13" s="46"/>
      <c r="K13" s="46"/>
      <c r="L13" s="46"/>
      <c r="M13" s="46"/>
      <c r="N13" s="46"/>
      <c r="O13" s="4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>
        <v>0</v>
      </c>
      <c r="AG13" s="5">
        <v>2</v>
      </c>
      <c r="AH13" s="5">
        <v>11</v>
      </c>
      <c r="AI13" s="5">
        <v>19</v>
      </c>
      <c r="AJ13" s="5">
        <v>19</v>
      </c>
      <c r="AK13" s="5">
        <v>18</v>
      </c>
      <c r="AL13" s="5">
        <v>17</v>
      </c>
      <c r="AM13" s="5">
        <v>22</v>
      </c>
      <c r="AN13" s="5">
        <v>16</v>
      </c>
      <c r="AO13" s="5">
        <v>16</v>
      </c>
      <c r="AP13" s="5">
        <v>18</v>
      </c>
      <c r="AQ13" s="5">
        <v>35</v>
      </c>
      <c r="AR13" s="5">
        <v>42</v>
      </c>
      <c r="AS13" s="5">
        <v>30</v>
      </c>
      <c r="AT13" s="5">
        <v>25</v>
      </c>
      <c r="AU13" s="5"/>
      <c r="AV13" s="8">
        <f>IF(SUM(AR13:AT13)&gt;=0,AVERAGE(AR13:AT13),"")</f>
        <v>32.333333333333336</v>
      </c>
      <c r="AW13" s="8">
        <f>IF(SUM(AP13:AT13)&gt;=0,AVERAGE(AP13:AT13),"")</f>
        <v>30</v>
      </c>
      <c r="AX13" s="8">
        <f>IF(SUM(AK13:AT13)&gt;=0,AVERAGE(AK13:AT13),"")</f>
        <v>23.9</v>
      </c>
      <c r="AY13" s="8"/>
      <c r="AZ13" s="47">
        <f>(AT13-AX13)/AX13</f>
        <v>4.6025104602510525E-2</v>
      </c>
      <c r="BA13" s="15"/>
    </row>
    <row r="14" spans="1:83" ht="11.25" customHeight="1">
      <c r="B14" s="15"/>
      <c r="C14" s="5"/>
      <c r="D14" s="5" t="s">
        <v>242</v>
      </c>
      <c r="E14" s="5"/>
      <c r="F14" s="5"/>
      <c r="G14" s="5"/>
      <c r="H14" s="5"/>
      <c r="I14" s="46"/>
      <c r="J14" s="46"/>
      <c r="K14" s="46"/>
      <c r="L14" s="46"/>
      <c r="M14" s="46"/>
      <c r="N14" s="46"/>
      <c r="O14" s="4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v>0</v>
      </c>
      <c r="AG14" s="5">
        <v>4</v>
      </c>
      <c r="AH14" s="5">
        <v>2</v>
      </c>
      <c r="AI14" s="5">
        <v>11</v>
      </c>
      <c r="AJ14" s="5">
        <v>10</v>
      </c>
      <c r="AK14" s="5">
        <v>17</v>
      </c>
      <c r="AL14" s="5">
        <v>18</v>
      </c>
      <c r="AM14" s="5">
        <v>11</v>
      </c>
      <c r="AN14" s="5">
        <v>19</v>
      </c>
      <c r="AO14" s="5">
        <v>7</v>
      </c>
      <c r="AP14" s="5">
        <v>4</v>
      </c>
      <c r="AQ14" s="5">
        <v>10</v>
      </c>
      <c r="AR14" s="5">
        <v>7</v>
      </c>
      <c r="AS14" s="5">
        <v>14</v>
      </c>
      <c r="AT14" s="5">
        <v>11</v>
      </c>
      <c r="AU14" s="5"/>
      <c r="AV14" s="8">
        <f t="shared" ref="AV14:AV20" si="0">IF(SUM(AR14:AT14)&gt;=0,AVERAGE(AR14:AT14),"")</f>
        <v>10.666666666666666</v>
      </c>
      <c r="AW14" s="8">
        <f t="shared" ref="AW14:AW20" si="1">IF(SUM(AP14:AT14)&gt;=0,AVERAGE(AP14:AT14),"")</f>
        <v>9.1999999999999993</v>
      </c>
      <c r="AX14" s="8">
        <f>IF(SUM(AK14:AT14)&gt;=0,AVERAGE(AK14:AT14),"")</f>
        <v>11.8</v>
      </c>
      <c r="AY14" s="8"/>
      <c r="AZ14" s="47">
        <f>(AT14-AX14)/AX14</f>
        <v>-6.7796610169491581E-2</v>
      </c>
      <c r="BA14" s="15"/>
    </row>
    <row r="15" spans="1:83" ht="11.25" customHeight="1">
      <c r="B15" s="15"/>
      <c r="C15" s="5" t="s">
        <v>267</v>
      </c>
      <c r="D15" s="5" t="s">
        <v>321</v>
      </c>
      <c r="E15" s="5"/>
      <c r="F15" s="5"/>
      <c r="G15" s="5"/>
      <c r="H15" s="5"/>
      <c r="I15" s="46"/>
      <c r="J15" s="46"/>
      <c r="K15" s="46"/>
      <c r="L15" s="46"/>
      <c r="M15" s="46"/>
      <c r="N15" s="46"/>
      <c r="O15" s="4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0</v>
      </c>
      <c r="AO15" s="5">
        <v>0</v>
      </c>
      <c r="AP15" s="5">
        <v>1</v>
      </c>
      <c r="AQ15" s="5">
        <v>0</v>
      </c>
      <c r="AR15" s="5">
        <v>2</v>
      </c>
      <c r="AS15" s="5">
        <v>0</v>
      </c>
      <c r="AT15" s="5">
        <v>0</v>
      </c>
      <c r="AU15" s="46"/>
      <c r="AV15" s="8">
        <f t="shared" si="0"/>
        <v>0.66666666666666663</v>
      </c>
      <c r="AW15" s="8">
        <f t="shared" si="1"/>
        <v>0.6</v>
      </c>
      <c r="AX15" s="6" t="s">
        <v>125</v>
      </c>
      <c r="AY15" s="15"/>
      <c r="AZ15" s="47"/>
      <c r="BA15" s="15"/>
    </row>
    <row r="16" spans="1:83" ht="11.25" customHeight="1">
      <c r="B16" s="15"/>
      <c r="C16" s="5" t="s">
        <v>260</v>
      </c>
      <c r="D16" s="5" t="s">
        <v>276</v>
      </c>
      <c r="E16" s="5"/>
      <c r="F16" s="5"/>
      <c r="G16" s="5"/>
      <c r="H16" s="5"/>
      <c r="I16" s="46"/>
      <c r="J16" s="46"/>
      <c r="K16" s="46"/>
      <c r="L16" s="46"/>
      <c r="M16" s="46"/>
      <c r="N16" s="46"/>
      <c r="O16" s="4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0</v>
      </c>
      <c r="AO16" s="5">
        <v>12</v>
      </c>
      <c r="AP16" s="5">
        <v>16</v>
      </c>
      <c r="AQ16" s="5">
        <v>16</v>
      </c>
      <c r="AR16" s="5">
        <v>8</v>
      </c>
      <c r="AS16" s="5">
        <v>6</v>
      </c>
      <c r="AT16" s="5">
        <v>11</v>
      </c>
      <c r="AU16" s="46"/>
      <c r="AV16" s="8">
        <f t="shared" si="0"/>
        <v>8.3333333333333339</v>
      </c>
      <c r="AW16" s="8">
        <f t="shared" si="1"/>
        <v>11.4</v>
      </c>
      <c r="AX16" s="6" t="s">
        <v>125</v>
      </c>
      <c r="AY16" s="15"/>
      <c r="AZ16" s="47"/>
      <c r="BA16" s="15"/>
    </row>
    <row r="17" spans="2:53" ht="11.25" customHeight="1">
      <c r="B17" s="15"/>
      <c r="C17" s="5" t="s">
        <v>229</v>
      </c>
      <c r="D17" s="5" t="s">
        <v>230</v>
      </c>
      <c r="E17" s="43"/>
      <c r="F17" s="43"/>
      <c r="G17" s="43"/>
      <c r="H17" s="43"/>
      <c r="I17" s="43"/>
      <c r="J17" s="43"/>
      <c r="K17" s="43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>
        <v>6</v>
      </c>
      <c r="AI17" s="46">
        <v>8</v>
      </c>
      <c r="AJ17" s="46">
        <v>13</v>
      </c>
      <c r="AK17" s="46">
        <v>9</v>
      </c>
      <c r="AL17" s="46">
        <v>5</v>
      </c>
      <c r="AM17" s="46">
        <v>14</v>
      </c>
      <c r="AN17" s="46">
        <v>15</v>
      </c>
      <c r="AO17" s="46">
        <v>21</v>
      </c>
      <c r="AP17" s="46">
        <v>15</v>
      </c>
      <c r="AQ17" s="46">
        <v>7</v>
      </c>
      <c r="AR17" s="46">
        <v>13</v>
      </c>
      <c r="AS17" s="46">
        <v>3</v>
      </c>
      <c r="AT17" s="46">
        <v>7</v>
      </c>
      <c r="AU17" s="46"/>
      <c r="AV17" s="8">
        <f t="shared" si="0"/>
        <v>7.666666666666667</v>
      </c>
      <c r="AW17" s="8">
        <f t="shared" si="1"/>
        <v>9</v>
      </c>
      <c r="AX17" s="8">
        <f t="shared" ref="AX17:AX18" si="2">IF(SUM(AK17:AT17)&gt;=0,AVERAGE(AK17:AT17),"")</f>
        <v>10.9</v>
      </c>
      <c r="AY17" s="8"/>
      <c r="AZ17" s="47">
        <f t="shared" ref="AZ17:AZ18" si="3">(AT17-AX17)/AX17</f>
        <v>-0.3577981651376147</v>
      </c>
      <c r="BA17" s="15"/>
    </row>
    <row r="18" spans="2:53" ht="11.25" customHeight="1">
      <c r="B18" s="15"/>
      <c r="C18" s="5" t="s">
        <v>92</v>
      </c>
      <c r="D18" s="5" t="s">
        <v>235</v>
      </c>
      <c r="E18" s="43"/>
      <c r="F18" s="43"/>
      <c r="G18" s="43"/>
      <c r="H18" s="43"/>
      <c r="I18" s="43"/>
      <c r="J18" s="43"/>
      <c r="K18" s="43"/>
      <c r="L18" s="46" t="s">
        <v>124</v>
      </c>
      <c r="M18" s="46" t="s">
        <v>124</v>
      </c>
      <c r="N18" s="46" t="s">
        <v>124</v>
      </c>
      <c r="O18" s="46" t="s">
        <v>124</v>
      </c>
      <c r="P18" s="46" t="s">
        <v>124</v>
      </c>
      <c r="Q18" s="46" t="s">
        <v>124</v>
      </c>
      <c r="R18" s="46" t="s">
        <v>124</v>
      </c>
      <c r="S18" s="46" t="s">
        <v>124</v>
      </c>
      <c r="T18" s="46" t="s">
        <v>124</v>
      </c>
      <c r="U18" s="46" t="s">
        <v>124</v>
      </c>
      <c r="V18" s="46" t="s">
        <v>124</v>
      </c>
      <c r="W18" s="46"/>
      <c r="X18" s="46"/>
      <c r="Y18" s="46"/>
      <c r="Z18" s="46"/>
      <c r="AA18" s="46"/>
      <c r="AB18" s="46"/>
      <c r="AC18" s="46"/>
      <c r="AD18" s="46"/>
      <c r="AE18" s="46"/>
      <c r="AF18" s="46">
        <v>2</v>
      </c>
      <c r="AG18" s="46">
        <v>34</v>
      </c>
      <c r="AH18" s="46">
        <v>67</v>
      </c>
      <c r="AI18" s="46">
        <v>69</v>
      </c>
      <c r="AJ18" s="46">
        <v>94</v>
      </c>
      <c r="AK18" s="46">
        <v>80</v>
      </c>
      <c r="AL18" s="46">
        <v>104</v>
      </c>
      <c r="AM18" s="46">
        <v>92</v>
      </c>
      <c r="AN18" s="46">
        <v>100</v>
      </c>
      <c r="AO18" s="46">
        <v>95</v>
      </c>
      <c r="AP18" s="46">
        <v>112</v>
      </c>
      <c r="AQ18" s="46">
        <v>128</v>
      </c>
      <c r="AR18" s="46">
        <v>105</v>
      </c>
      <c r="AS18" s="46">
        <v>101</v>
      </c>
      <c r="AT18" s="46">
        <v>92</v>
      </c>
      <c r="AU18" s="46"/>
      <c r="AV18" s="8">
        <f t="shared" si="0"/>
        <v>99.333333333333329</v>
      </c>
      <c r="AW18" s="8">
        <f t="shared" si="1"/>
        <v>107.6</v>
      </c>
      <c r="AX18" s="8">
        <f t="shared" si="2"/>
        <v>100.9</v>
      </c>
      <c r="AY18" s="8"/>
      <c r="AZ18" s="47">
        <f t="shared" si="3"/>
        <v>-8.8206144697720562E-2</v>
      </c>
      <c r="BA18" s="15"/>
    </row>
    <row r="19" spans="2:53" ht="11.25" customHeight="1">
      <c r="B19" s="15"/>
      <c r="C19" s="5" t="s">
        <v>166</v>
      </c>
      <c r="D19" s="5" t="s">
        <v>276</v>
      </c>
      <c r="E19" s="43"/>
      <c r="F19" s="43"/>
      <c r="G19" s="43"/>
      <c r="H19" s="43"/>
      <c r="I19" s="43"/>
      <c r="J19" s="43"/>
      <c r="K19" s="43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>
        <v>2</v>
      </c>
      <c r="AO19" s="46">
        <v>5</v>
      </c>
      <c r="AP19" s="46">
        <v>3</v>
      </c>
      <c r="AQ19" s="46">
        <v>4</v>
      </c>
      <c r="AR19" s="46">
        <v>10</v>
      </c>
      <c r="AS19" s="46">
        <v>7</v>
      </c>
      <c r="AT19" s="46">
        <v>10</v>
      </c>
      <c r="AU19" s="46"/>
      <c r="AV19" s="8">
        <f t="shared" si="0"/>
        <v>9</v>
      </c>
      <c r="AW19" s="8">
        <f t="shared" si="1"/>
        <v>6.8</v>
      </c>
      <c r="AX19" s="6" t="s">
        <v>125</v>
      </c>
      <c r="AY19" s="15"/>
      <c r="AZ19" s="47"/>
      <c r="BA19" s="15"/>
    </row>
    <row r="20" spans="2:53" ht="11.25" customHeight="1">
      <c r="B20" s="15"/>
      <c r="C20" s="5" t="s">
        <v>261</v>
      </c>
      <c r="D20" s="5" t="s">
        <v>321</v>
      </c>
      <c r="E20" s="43"/>
      <c r="F20" s="43"/>
      <c r="G20" s="43"/>
      <c r="H20" s="43"/>
      <c r="I20" s="43"/>
      <c r="J20" s="43"/>
      <c r="K20" s="43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>
        <v>0</v>
      </c>
      <c r="AO20" s="46">
        <v>1</v>
      </c>
      <c r="AP20" s="46">
        <v>3</v>
      </c>
      <c r="AQ20" s="46">
        <v>2</v>
      </c>
      <c r="AR20" s="46">
        <v>0</v>
      </c>
      <c r="AS20" s="46">
        <v>0</v>
      </c>
      <c r="AT20" s="46">
        <v>0</v>
      </c>
      <c r="AU20" s="46"/>
      <c r="AV20" s="8">
        <f t="shared" si="0"/>
        <v>0</v>
      </c>
      <c r="AW20" s="8">
        <f t="shared" si="1"/>
        <v>1</v>
      </c>
      <c r="AX20" s="6" t="s">
        <v>125</v>
      </c>
      <c r="AY20" s="15"/>
      <c r="AZ20" s="47"/>
      <c r="BA20" s="15"/>
    </row>
    <row r="21" spans="2:53" ht="11.25" customHeight="1"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10"/>
      <c r="AW21" s="45"/>
      <c r="AX21" s="5"/>
      <c r="AY21" s="15"/>
      <c r="AZ21" s="15"/>
      <c r="BA21" s="15"/>
    </row>
    <row r="22" spans="2:53" ht="11.25" customHeight="1">
      <c r="B22" s="5" t="s">
        <v>10</v>
      </c>
      <c r="C22" s="5" t="s">
        <v>11</v>
      </c>
      <c r="D22" s="5" t="s">
        <v>56</v>
      </c>
      <c r="E22" s="5">
        <v>3</v>
      </c>
      <c r="F22" s="5">
        <v>3</v>
      </c>
      <c r="G22" s="5">
        <v>5</v>
      </c>
      <c r="H22" s="5">
        <v>12</v>
      </c>
      <c r="I22" s="5">
        <v>4</v>
      </c>
      <c r="J22" s="5">
        <v>7</v>
      </c>
      <c r="K22" s="5">
        <v>9</v>
      </c>
      <c r="L22" s="5">
        <v>1</v>
      </c>
      <c r="M22" s="5">
        <v>3</v>
      </c>
      <c r="N22" s="5">
        <v>1</v>
      </c>
      <c r="O22" s="5">
        <v>8</v>
      </c>
      <c r="P22" s="5">
        <v>3</v>
      </c>
      <c r="Q22" s="5">
        <v>7</v>
      </c>
      <c r="R22" s="5">
        <v>4</v>
      </c>
      <c r="S22" s="5">
        <v>5</v>
      </c>
      <c r="T22" s="5">
        <v>4</v>
      </c>
      <c r="U22" s="5">
        <v>7</v>
      </c>
      <c r="V22" s="5">
        <v>3</v>
      </c>
      <c r="W22" s="5">
        <v>3</v>
      </c>
      <c r="X22" s="5">
        <v>11</v>
      </c>
      <c r="Y22" s="5">
        <v>18</v>
      </c>
      <c r="Z22" s="5">
        <v>13</v>
      </c>
      <c r="AA22" s="5">
        <v>11</v>
      </c>
      <c r="AB22" s="5">
        <v>15</v>
      </c>
      <c r="AC22" s="5">
        <v>13</v>
      </c>
      <c r="AD22" s="5">
        <v>12</v>
      </c>
      <c r="AE22" s="5">
        <v>16</v>
      </c>
      <c r="AF22" s="5">
        <v>13</v>
      </c>
      <c r="AG22" s="5">
        <v>19</v>
      </c>
      <c r="AH22" s="5">
        <v>26</v>
      </c>
      <c r="AI22" s="5">
        <v>16</v>
      </c>
      <c r="AJ22" s="5">
        <v>16</v>
      </c>
      <c r="AK22" s="5">
        <v>11</v>
      </c>
      <c r="AL22" s="5">
        <v>20</v>
      </c>
      <c r="AM22" s="5">
        <v>20</v>
      </c>
      <c r="AN22" s="5">
        <v>25</v>
      </c>
      <c r="AO22" s="5">
        <v>17</v>
      </c>
      <c r="AP22" s="5">
        <v>22</v>
      </c>
      <c r="AQ22" s="5">
        <v>26</v>
      </c>
      <c r="AR22" s="5">
        <v>13</v>
      </c>
      <c r="AS22" s="5">
        <v>13</v>
      </c>
      <c r="AT22" s="5">
        <v>16</v>
      </c>
      <c r="AU22" s="5"/>
      <c r="AV22" s="8">
        <f>IF(SUM(AR22:AT22)&gt;=0,AVERAGE(AR22:AT22),"")</f>
        <v>14</v>
      </c>
      <c r="AW22" s="8">
        <f>IF(SUM(AP22:AT22)&gt;=0,AVERAGE(AP22:AT22),"")</f>
        <v>18</v>
      </c>
      <c r="AX22" s="8">
        <f>IF(SUM(AK22:AT22)&gt;=0,AVERAGE(AK22:AT22),"")</f>
        <v>18.3</v>
      </c>
      <c r="AY22" s="8"/>
      <c r="AZ22" s="47">
        <f>(AT22-AX22)/AX22</f>
        <v>-0.12568306010928965</v>
      </c>
      <c r="BA22" s="15"/>
    </row>
    <row r="23" spans="2:53" ht="11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0"/>
      <c r="AW23" s="10"/>
      <c r="AX23" s="10"/>
      <c r="AY23" s="15"/>
      <c r="AZ23" s="15"/>
      <c r="BA23" s="15"/>
    </row>
    <row r="24" spans="2:53" ht="11.25" customHeight="1">
      <c r="B24" s="5" t="s">
        <v>97</v>
      </c>
      <c r="C24" s="5" t="s">
        <v>298</v>
      </c>
      <c r="D24" s="5" t="s">
        <v>56</v>
      </c>
      <c r="E24" s="5">
        <v>5</v>
      </c>
      <c r="F24" s="5">
        <v>6</v>
      </c>
      <c r="G24" s="5">
        <v>5</v>
      </c>
      <c r="H24" s="5">
        <v>7</v>
      </c>
      <c r="I24" s="5">
        <v>4</v>
      </c>
      <c r="J24" s="5">
        <v>3</v>
      </c>
      <c r="K24" s="5">
        <v>5</v>
      </c>
      <c r="L24" s="5">
        <v>2</v>
      </c>
      <c r="M24" s="5">
        <v>7</v>
      </c>
      <c r="N24" s="5">
        <v>7</v>
      </c>
      <c r="O24" s="5">
        <v>6</v>
      </c>
      <c r="P24" s="5">
        <v>6</v>
      </c>
      <c r="Q24" s="5">
        <v>9</v>
      </c>
      <c r="R24" s="5">
        <v>6</v>
      </c>
      <c r="S24" s="5">
        <v>4</v>
      </c>
      <c r="T24" s="5">
        <v>12</v>
      </c>
      <c r="U24" s="5">
        <v>5</v>
      </c>
      <c r="V24" s="5">
        <v>7</v>
      </c>
      <c r="W24" s="5">
        <v>7</v>
      </c>
      <c r="X24" s="5">
        <v>5</v>
      </c>
      <c r="Y24" s="5">
        <v>6</v>
      </c>
      <c r="Z24" s="5">
        <v>5</v>
      </c>
      <c r="AA24" s="5">
        <v>10</v>
      </c>
      <c r="AB24" s="5">
        <v>6</v>
      </c>
      <c r="AC24" s="5">
        <f>10+5</f>
        <v>15</v>
      </c>
      <c r="AD24" s="46">
        <f>16+16</f>
        <v>32</v>
      </c>
      <c r="AE24" s="46">
        <f>8+8</f>
        <v>16</v>
      </c>
      <c r="AF24" s="46">
        <f>13+13</f>
        <v>26</v>
      </c>
      <c r="AG24" s="46">
        <f>10+10</f>
        <v>20</v>
      </c>
      <c r="AH24" s="46">
        <f>15+14</f>
        <v>29</v>
      </c>
      <c r="AI24" s="5">
        <v>17</v>
      </c>
      <c r="AJ24" s="5">
        <v>11</v>
      </c>
      <c r="AK24" s="5">
        <v>21</v>
      </c>
      <c r="AL24" s="5">
        <v>16</v>
      </c>
      <c r="AM24" s="5">
        <v>10</v>
      </c>
      <c r="AN24" s="5">
        <v>15</v>
      </c>
      <c r="AO24" s="5">
        <v>9</v>
      </c>
      <c r="AP24" s="5">
        <v>6</v>
      </c>
      <c r="AQ24" s="5">
        <v>7</v>
      </c>
      <c r="AR24" s="46">
        <v>2</v>
      </c>
      <c r="AS24" s="46">
        <v>5</v>
      </c>
      <c r="AT24" s="46">
        <v>2</v>
      </c>
      <c r="AU24" s="46"/>
      <c r="AV24" s="8">
        <f t="shared" ref="AV24:AV25" si="4">IF(SUM(AR24:AT24)&gt;=0,AVERAGE(AR24:AT24),"")</f>
        <v>3</v>
      </c>
      <c r="AW24" s="6" t="s">
        <v>125</v>
      </c>
      <c r="AX24" s="6" t="s">
        <v>125</v>
      </c>
      <c r="AY24" s="15"/>
      <c r="AZ24" s="47"/>
      <c r="BA24" s="15"/>
    </row>
    <row r="25" spans="2:53" ht="11.25" customHeight="1">
      <c r="B25" s="5"/>
      <c r="C25" s="5" t="s">
        <v>299</v>
      </c>
      <c r="D25" s="5" t="s">
        <v>147</v>
      </c>
      <c r="E25" s="5"/>
      <c r="F25" s="5"/>
      <c r="G25" s="5"/>
      <c r="H25" s="5"/>
      <c r="I25" s="46" t="s">
        <v>124</v>
      </c>
      <c r="J25" s="46" t="s">
        <v>124</v>
      </c>
      <c r="K25" s="46" t="s">
        <v>124</v>
      </c>
      <c r="L25" s="46" t="s">
        <v>124</v>
      </c>
      <c r="M25" s="46" t="s">
        <v>124</v>
      </c>
      <c r="N25" s="46" t="s">
        <v>124</v>
      </c>
      <c r="O25" s="46" t="s">
        <v>124</v>
      </c>
      <c r="P25" s="46" t="s">
        <v>124</v>
      </c>
      <c r="Q25" s="46" t="s">
        <v>124</v>
      </c>
      <c r="R25" s="46" t="s">
        <v>124</v>
      </c>
      <c r="S25" s="46" t="s">
        <v>124</v>
      </c>
      <c r="T25" s="46" t="s">
        <v>124</v>
      </c>
      <c r="U25" s="46" t="s">
        <v>124</v>
      </c>
      <c r="V25" s="46" t="s">
        <v>124</v>
      </c>
      <c r="W25" s="5">
        <v>0</v>
      </c>
      <c r="X25" s="5">
        <v>0</v>
      </c>
      <c r="Y25" s="5">
        <f>3+1+1+1</f>
        <v>6</v>
      </c>
      <c r="Z25" s="5">
        <f>8+6</f>
        <v>14</v>
      </c>
      <c r="AA25" s="5">
        <f>16+1</f>
        <v>17</v>
      </c>
      <c r="AB25" s="5">
        <f>30+4</f>
        <v>34</v>
      </c>
      <c r="AC25" s="5">
        <f>46+39</f>
        <v>85</v>
      </c>
      <c r="AD25" s="46">
        <f>36+36</f>
        <v>72</v>
      </c>
      <c r="AE25" s="46">
        <f>41+41</f>
        <v>82</v>
      </c>
      <c r="AF25" s="46">
        <f>51+49</f>
        <v>100</v>
      </c>
      <c r="AG25" s="46">
        <f>11+54</f>
        <v>65</v>
      </c>
      <c r="AH25" s="46">
        <f>38+38</f>
        <v>76</v>
      </c>
      <c r="AI25" s="5">
        <v>49</v>
      </c>
      <c r="AJ25" s="5">
        <v>42</v>
      </c>
      <c r="AK25" s="5">
        <v>47</v>
      </c>
      <c r="AL25" s="5">
        <v>53</v>
      </c>
      <c r="AM25" s="5">
        <v>46</v>
      </c>
      <c r="AN25" s="5">
        <v>44</v>
      </c>
      <c r="AO25" s="5">
        <v>47</v>
      </c>
      <c r="AP25" s="5">
        <v>57</v>
      </c>
      <c r="AQ25" s="5">
        <v>51</v>
      </c>
      <c r="AR25" s="46">
        <v>30</v>
      </c>
      <c r="AS25" s="46">
        <v>27</v>
      </c>
      <c r="AT25" s="46">
        <v>36</v>
      </c>
      <c r="AU25" s="46"/>
      <c r="AV25" s="8">
        <f t="shared" si="4"/>
        <v>31</v>
      </c>
      <c r="AW25" s="6" t="s">
        <v>125</v>
      </c>
      <c r="AX25" s="6" t="s">
        <v>125</v>
      </c>
      <c r="AY25" s="15"/>
      <c r="AZ25" s="47"/>
      <c r="BA25" s="15"/>
    </row>
    <row r="26" spans="2:53" ht="11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6"/>
      <c r="AW26" s="10"/>
      <c r="AX26" s="10"/>
      <c r="AY26" s="15"/>
      <c r="AZ26" s="15"/>
      <c r="BA26" s="15"/>
    </row>
    <row r="27" spans="2:53" ht="11.25" customHeight="1">
      <c r="B27" s="5" t="s">
        <v>60</v>
      </c>
      <c r="C27" s="5" t="s">
        <v>69</v>
      </c>
      <c r="D27" s="5" t="s">
        <v>57</v>
      </c>
      <c r="E27" s="5">
        <v>48</v>
      </c>
      <c r="F27" s="5">
        <v>37</v>
      </c>
      <c r="G27" s="5">
        <v>40</v>
      </c>
      <c r="H27" s="5">
        <v>32</v>
      </c>
      <c r="I27" s="5">
        <v>29</v>
      </c>
      <c r="J27" s="5">
        <v>34</v>
      </c>
      <c r="K27" s="5">
        <v>23</v>
      </c>
      <c r="L27" s="5">
        <v>24</v>
      </c>
      <c r="M27" s="5">
        <v>27</v>
      </c>
      <c r="N27" s="5">
        <v>18</v>
      </c>
      <c r="O27" s="5">
        <v>18</v>
      </c>
      <c r="P27" s="5">
        <v>23</v>
      </c>
      <c r="Q27" s="5">
        <v>29</v>
      </c>
      <c r="R27" s="5">
        <v>22</v>
      </c>
      <c r="S27" s="5">
        <f>11+11</f>
        <v>22</v>
      </c>
      <c r="T27" s="5">
        <v>38</v>
      </c>
      <c r="U27" s="5">
        <v>36</v>
      </c>
      <c r="V27" s="5">
        <v>56</v>
      </c>
      <c r="W27" s="5">
        <v>57</v>
      </c>
      <c r="X27" s="5">
        <f>18+44+1</f>
        <v>63</v>
      </c>
      <c r="Y27" s="5">
        <f>16+47</f>
        <v>63</v>
      </c>
      <c r="Z27" s="5">
        <f>15+46+2+1</f>
        <v>64</v>
      </c>
      <c r="AA27" s="5">
        <v>81</v>
      </c>
      <c r="AB27" s="5">
        <v>58</v>
      </c>
      <c r="AC27" s="5">
        <v>58</v>
      </c>
      <c r="AD27" s="5">
        <v>74</v>
      </c>
      <c r="AE27" s="5">
        <v>57</v>
      </c>
      <c r="AF27" s="5">
        <v>62</v>
      </c>
      <c r="AG27" s="5">
        <v>64</v>
      </c>
      <c r="AH27" s="5">
        <v>66</v>
      </c>
      <c r="AI27" s="5">
        <v>70</v>
      </c>
      <c r="AJ27" s="5">
        <v>73</v>
      </c>
      <c r="AK27" s="5">
        <v>80</v>
      </c>
      <c r="AL27" s="5">
        <v>54</v>
      </c>
      <c r="AM27" s="5">
        <v>68</v>
      </c>
      <c r="AN27" s="5">
        <v>76</v>
      </c>
      <c r="AO27" s="5">
        <v>77</v>
      </c>
      <c r="AP27" s="5">
        <v>80</v>
      </c>
      <c r="AQ27" s="5">
        <v>87</v>
      </c>
      <c r="AR27" s="5">
        <v>73</v>
      </c>
      <c r="AS27" s="5">
        <v>89</v>
      </c>
      <c r="AT27" s="5">
        <v>80</v>
      </c>
      <c r="AU27" s="5"/>
      <c r="AV27" s="8">
        <f t="shared" ref="AV27:AV33" si="5">IF(SUM(AR27:AT27)&gt;=0,AVERAGE(AR27:AT27),"")</f>
        <v>80.666666666666671</v>
      </c>
      <c r="AW27" s="8">
        <f t="shared" ref="AW27:AW33" si="6">IF(SUM(AP27:AT27)&gt;=0,AVERAGE(AP27:AT27),"")</f>
        <v>81.8</v>
      </c>
      <c r="AX27" s="8">
        <f t="shared" ref="AX27:AX33" si="7">IF(SUM(AK27:AT27)&gt;=0,AVERAGE(AK27:AT27),"")</f>
        <v>76.400000000000006</v>
      </c>
      <c r="AY27" s="8"/>
      <c r="AZ27" s="47">
        <f t="shared" ref="AZ27:AZ33" si="8">(AT27-AX27)/AX27</f>
        <v>4.7120418848167464E-2</v>
      </c>
      <c r="BA27" s="15"/>
    </row>
    <row r="28" spans="2:53" ht="11.25" customHeight="1">
      <c r="B28" s="5"/>
      <c r="C28" s="5"/>
      <c r="D28" s="5" t="s">
        <v>8</v>
      </c>
      <c r="E28" s="5">
        <v>9</v>
      </c>
      <c r="F28" s="5">
        <v>5</v>
      </c>
      <c r="G28" s="5">
        <v>10</v>
      </c>
      <c r="H28" s="5">
        <v>9</v>
      </c>
      <c r="I28" s="5">
        <v>9</v>
      </c>
      <c r="J28" s="5">
        <v>6</v>
      </c>
      <c r="K28" s="5">
        <v>4</v>
      </c>
      <c r="L28" s="5">
        <v>9</v>
      </c>
      <c r="M28" s="5">
        <v>9</v>
      </c>
      <c r="N28" s="5">
        <v>9</v>
      </c>
      <c r="O28" s="5">
        <v>9</v>
      </c>
      <c r="P28" s="5">
        <v>6</v>
      </c>
      <c r="Q28" s="5">
        <v>11</v>
      </c>
      <c r="R28" s="5">
        <v>6</v>
      </c>
      <c r="S28" s="5">
        <f>19+1</f>
        <v>20</v>
      </c>
      <c r="T28" s="5">
        <v>8</v>
      </c>
      <c r="U28" s="5">
        <v>18</v>
      </c>
      <c r="V28" s="5">
        <v>15</v>
      </c>
      <c r="W28" s="5">
        <v>28</v>
      </c>
      <c r="X28" s="5">
        <f>3+15+2</f>
        <v>20</v>
      </c>
      <c r="Y28" s="5">
        <f>2+1+7+2+2+8+1+2+1+2</f>
        <v>28</v>
      </c>
      <c r="Z28" s="5">
        <f>1+6+2+6+1+1</f>
        <v>17</v>
      </c>
      <c r="AA28" s="5">
        <f>1+2+1+7+5+1</f>
        <v>17</v>
      </c>
      <c r="AB28" s="5">
        <v>16</v>
      </c>
      <c r="AC28" s="5">
        <v>17</v>
      </c>
      <c r="AD28" s="5">
        <v>22</v>
      </c>
      <c r="AE28" s="5">
        <v>15</v>
      </c>
      <c r="AF28" s="5">
        <v>29</v>
      </c>
      <c r="AG28" s="5">
        <v>20</v>
      </c>
      <c r="AH28" s="5">
        <v>28</v>
      </c>
      <c r="AI28" s="5">
        <v>10</v>
      </c>
      <c r="AJ28" s="5">
        <v>16</v>
      </c>
      <c r="AK28" s="5">
        <v>16</v>
      </c>
      <c r="AL28" s="5">
        <v>14</v>
      </c>
      <c r="AM28" s="5">
        <v>23</v>
      </c>
      <c r="AN28" s="5">
        <v>12</v>
      </c>
      <c r="AO28" s="5">
        <v>17</v>
      </c>
      <c r="AP28" s="5">
        <v>16</v>
      </c>
      <c r="AQ28" s="5">
        <v>12</v>
      </c>
      <c r="AR28" s="5">
        <v>7</v>
      </c>
      <c r="AS28" s="5">
        <v>15</v>
      </c>
      <c r="AT28" s="5">
        <v>10</v>
      </c>
      <c r="AU28" s="5"/>
      <c r="AV28" s="8">
        <f t="shared" si="5"/>
        <v>10.666666666666666</v>
      </c>
      <c r="AW28" s="8">
        <f t="shared" si="6"/>
        <v>12</v>
      </c>
      <c r="AX28" s="8">
        <f t="shared" si="7"/>
        <v>14.2</v>
      </c>
      <c r="AY28" s="8"/>
      <c r="AZ28" s="47">
        <f t="shared" si="8"/>
        <v>-0.29577464788732388</v>
      </c>
      <c r="BA28" s="15"/>
    </row>
    <row r="29" spans="2:53" ht="11.25" customHeight="1">
      <c r="B29" s="5"/>
      <c r="C29" s="5"/>
      <c r="D29" s="5" t="s">
        <v>118</v>
      </c>
      <c r="E29" s="5"/>
      <c r="F29" s="5"/>
      <c r="G29" s="5"/>
      <c r="H29" s="5"/>
      <c r="I29" s="46" t="s">
        <v>124</v>
      </c>
      <c r="J29" s="46" t="s">
        <v>124</v>
      </c>
      <c r="K29" s="46" t="s">
        <v>124</v>
      </c>
      <c r="L29" s="46" t="s">
        <v>124</v>
      </c>
      <c r="M29" s="46" t="s">
        <v>124</v>
      </c>
      <c r="N29" s="46" t="s">
        <v>124</v>
      </c>
      <c r="O29" s="46" t="s">
        <v>124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1</v>
      </c>
      <c r="V29" s="5">
        <v>0</v>
      </c>
      <c r="W29" s="5">
        <v>2</v>
      </c>
      <c r="X29" s="5">
        <f>2+2</f>
        <v>4</v>
      </c>
      <c r="Y29" s="5">
        <f>2+1</f>
        <v>3</v>
      </c>
      <c r="Z29" s="5">
        <f>1+1+3</f>
        <v>5</v>
      </c>
      <c r="AA29" s="5">
        <f>3+1</f>
        <v>4</v>
      </c>
      <c r="AB29" s="5">
        <v>1</v>
      </c>
      <c r="AC29" s="5">
        <v>1</v>
      </c>
      <c r="AD29" s="5">
        <v>2</v>
      </c>
      <c r="AE29" s="5">
        <v>1</v>
      </c>
      <c r="AF29" s="5">
        <v>5</v>
      </c>
      <c r="AG29" s="5">
        <v>3</v>
      </c>
      <c r="AH29" s="5">
        <v>10</v>
      </c>
      <c r="AI29" s="5">
        <v>8</v>
      </c>
      <c r="AJ29" s="5">
        <v>11</v>
      </c>
      <c r="AK29" s="5">
        <v>9</v>
      </c>
      <c r="AL29" s="5">
        <v>6</v>
      </c>
      <c r="AM29" s="5">
        <v>6</v>
      </c>
      <c r="AN29" s="5">
        <v>5</v>
      </c>
      <c r="AO29" s="5">
        <v>5</v>
      </c>
      <c r="AP29" s="5">
        <v>8</v>
      </c>
      <c r="AQ29" s="5">
        <v>1</v>
      </c>
      <c r="AR29" s="5">
        <v>7</v>
      </c>
      <c r="AS29" s="5">
        <v>8</v>
      </c>
      <c r="AT29" s="5">
        <v>3</v>
      </c>
      <c r="AU29" s="5"/>
      <c r="AV29" s="8">
        <f t="shared" si="5"/>
        <v>6</v>
      </c>
      <c r="AW29" s="8">
        <f t="shared" si="6"/>
        <v>5.4</v>
      </c>
      <c r="AX29" s="8">
        <f t="shared" si="7"/>
        <v>5.8</v>
      </c>
      <c r="AY29" s="8"/>
      <c r="AZ29" s="47">
        <f t="shared" si="8"/>
        <v>-0.48275862068965514</v>
      </c>
      <c r="BA29" s="15"/>
    </row>
    <row r="30" spans="2:53" ht="11.25" customHeight="1">
      <c r="B30" s="5"/>
      <c r="C30" s="5" t="s">
        <v>256</v>
      </c>
      <c r="D30" s="5" t="s">
        <v>134</v>
      </c>
      <c r="E30" s="5"/>
      <c r="F30" s="5"/>
      <c r="G30" s="5"/>
      <c r="H30" s="5"/>
      <c r="I30" s="46" t="s">
        <v>124</v>
      </c>
      <c r="J30" s="46" t="s">
        <v>124</v>
      </c>
      <c r="K30" s="46" t="s">
        <v>124</v>
      </c>
      <c r="L30" s="46" t="s">
        <v>124</v>
      </c>
      <c r="M30" s="46" t="s">
        <v>124</v>
      </c>
      <c r="N30" s="46" t="s">
        <v>124</v>
      </c>
      <c r="O30" s="46" t="s">
        <v>124</v>
      </c>
      <c r="P30" s="46" t="s">
        <v>124</v>
      </c>
      <c r="Q30" s="46" t="s">
        <v>124</v>
      </c>
      <c r="R30" s="46" t="s">
        <v>124</v>
      </c>
      <c r="S30" s="46" t="s">
        <v>124</v>
      </c>
      <c r="T30" s="46" t="s">
        <v>124</v>
      </c>
      <c r="U30" s="46" t="s">
        <v>124</v>
      </c>
      <c r="V30" s="46" t="s">
        <v>124</v>
      </c>
      <c r="W30" s="5">
        <v>0</v>
      </c>
      <c r="X30" s="5">
        <v>7</v>
      </c>
      <c r="Y30" s="5">
        <v>9</v>
      </c>
      <c r="Z30" s="5">
        <v>7</v>
      </c>
      <c r="AA30" s="5">
        <v>5</v>
      </c>
      <c r="AB30" s="5">
        <v>2</v>
      </c>
      <c r="AC30" s="5">
        <v>2</v>
      </c>
      <c r="AD30" s="5">
        <v>5</v>
      </c>
      <c r="AE30" s="5">
        <v>3</v>
      </c>
      <c r="AF30" s="46">
        <v>6</v>
      </c>
      <c r="AG30" s="46">
        <v>7</v>
      </c>
      <c r="AH30" s="46">
        <v>7</v>
      </c>
      <c r="AI30" s="46">
        <v>2</v>
      </c>
      <c r="AJ30" s="46">
        <v>6</v>
      </c>
      <c r="AK30" s="46">
        <v>5</v>
      </c>
      <c r="AL30" s="46">
        <v>1</v>
      </c>
      <c r="AM30" s="46">
        <v>4</v>
      </c>
      <c r="AN30" s="46">
        <v>1</v>
      </c>
      <c r="AO30" s="46">
        <v>4</v>
      </c>
      <c r="AP30" s="46">
        <v>5</v>
      </c>
      <c r="AQ30" s="46">
        <v>1</v>
      </c>
      <c r="AR30" s="46">
        <v>0</v>
      </c>
      <c r="AS30" s="46">
        <v>2</v>
      </c>
      <c r="AT30" s="46">
        <v>0</v>
      </c>
      <c r="AU30" s="5"/>
      <c r="AV30" s="8">
        <f t="shared" si="5"/>
        <v>0.66666666666666663</v>
      </c>
      <c r="AW30" s="8">
        <f t="shared" si="6"/>
        <v>1.6</v>
      </c>
      <c r="AX30" s="8">
        <f t="shared" si="7"/>
        <v>2.2999999999999998</v>
      </c>
      <c r="AY30" s="8"/>
      <c r="AZ30" s="47">
        <f t="shared" si="8"/>
        <v>-1</v>
      </c>
      <c r="BA30" s="15"/>
    </row>
    <row r="31" spans="2:53" ht="11.25" hidden="1" customHeight="1">
      <c r="B31" s="5"/>
      <c r="C31" s="5" t="s">
        <v>94</v>
      </c>
      <c r="D31" s="5" t="s">
        <v>9</v>
      </c>
      <c r="E31" s="5"/>
      <c r="F31" s="5"/>
      <c r="G31" s="5"/>
      <c r="H31" s="5"/>
      <c r="I31" s="46" t="s">
        <v>124</v>
      </c>
      <c r="J31" s="46" t="s">
        <v>124</v>
      </c>
      <c r="K31" s="46" t="s">
        <v>124</v>
      </c>
      <c r="L31" s="46" t="s">
        <v>124</v>
      </c>
      <c r="M31" s="46" t="s">
        <v>124</v>
      </c>
      <c r="N31" s="46" t="s">
        <v>124</v>
      </c>
      <c r="O31" s="46" t="s">
        <v>124</v>
      </c>
      <c r="P31" s="46" t="s">
        <v>124</v>
      </c>
      <c r="Q31" s="46" t="s">
        <v>124</v>
      </c>
      <c r="R31" s="46" t="s">
        <v>124</v>
      </c>
      <c r="S31" s="46" t="s">
        <v>124</v>
      </c>
      <c r="T31" s="46" t="s">
        <v>124</v>
      </c>
      <c r="U31" s="46" t="s">
        <v>124</v>
      </c>
      <c r="V31" s="46" t="s">
        <v>124</v>
      </c>
      <c r="W31" s="46"/>
      <c r="X31" s="46"/>
      <c r="Y31" s="46"/>
      <c r="Z31" s="46"/>
      <c r="AA31" s="46"/>
      <c r="AB31" s="5">
        <v>3</v>
      </c>
      <c r="AC31" s="5">
        <v>1</v>
      </c>
      <c r="AD31" s="5">
        <v>0</v>
      </c>
      <c r="AE31" s="5">
        <v>5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8" t="e">
        <f t="shared" si="5"/>
        <v>#DIV/0!</v>
      </c>
      <c r="AW31" s="8" t="e">
        <f t="shared" si="6"/>
        <v>#DIV/0!</v>
      </c>
      <c r="AX31" s="8" t="e">
        <f t="shared" si="7"/>
        <v>#DIV/0!</v>
      </c>
      <c r="AY31" s="8"/>
      <c r="AZ31" s="47" t="e">
        <f t="shared" si="8"/>
        <v>#DIV/0!</v>
      </c>
      <c r="BA31" s="15"/>
    </row>
    <row r="32" spans="2:53" ht="11.25" hidden="1" customHeight="1">
      <c r="B32" s="5"/>
      <c r="C32" s="5" t="s">
        <v>95</v>
      </c>
      <c r="D32" s="5" t="s">
        <v>9</v>
      </c>
      <c r="E32" s="5"/>
      <c r="F32" s="5"/>
      <c r="G32" s="5"/>
      <c r="H32" s="5"/>
      <c r="I32" s="46" t="s">
        <v>124</v>
      </c>
      <c r="J32" s="46" t="s">
        <v>124</v>
      </c>
      <c r="K32" s="46" t="s">
        <v>124</v>
      </c>
      <c r="L32" s="46" t="s">
        <v>124</v>
      </c>
      <c r="M32" s="46" t="s">
        <v>124</v>
      </c>
      <c r="N32" s="46" t="s">
        <v>124</v>
      </c>
      <c r="O32" s="46" t="s">
        <v>124</v>
      </c>
      <c r="P32" s="46" t="s">
        <v>124</v>
      </c>
      <c r="Q32" s="46" t="s">
        <v>124</v>
      </c>
      <c r="R32" s="46" t="s">
        <v>124</v>
      </c>
      <c r="S32" s="46" t="s">
        <v>124</v>
      </c>
      <c r="T32" s="46" t="s">
        <v>124</v>
      </c>
      <c r="U32" s="46" t="s">
        <v>124</v>
      </c>
      <c r="V32" s="46" t="s">
        <v>124</v>
      </c>
      <c r="W32" s="46"/>
      <c r="X32" s="46"/>
      <c r="Y32" s="46"/>
      <c r="Z32" s="46"/>
      <c r="AA32" s="46"/>
      <c r="AB32" s="5">
        <v>2</v>
      </c>
      <c r="AC32" s="5">
        <v>4</v>
      </c>
      <c r="AD32" s="5">
        <v>0</v>
      </c>
      <c r="AE32" s="5">
        <v>1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8" t="e">
        <f t="shared" si="5"/>
        <v>#DIV/0!</v>
      </c>
      <c r="AW32" s="8" t="e">
        <f t="shared" si="6"/>
        <v>#DIV/0!</v>
      </c>
      <c r="AX32" s="8" t="e">
        <f t="shared" si="7"/>
        <v>#DIV/0!</v>
      </c>
      <c r="AY32" s="8"/>
      <c r="AZ32" s="47" t="e">
        <f t="shared" si="8"/>
        <v>#DIV/0!</v>
      </c>
      <c r="BA32" s="15"/>
    </row>
    <row r="33" spans="2:53" ht="11.25" customHeight="1">
      <c r="B33" s="5"/>
      <c r="C33" s="5" t="s">
        <v>334</v>
      </c>
      <c r="D33" s="5" t="s">
        <v>120</v>
      </c>
      <c r="E33" s="5"/>
      <c r="F33" s="5"/>
      <c r="G33" s="5"/>
      <c r="H33" s="5"/>
      <c r="I33" s="46" t="s">
        <v>124</v>
      </c>
      <c r="J33" s="46" t="s">
        <v>124</v>
      </c>
      <c r="K33" s="46" t="s">
        <v>124</v>
      </c>
      <c r="L33" s="46" t="s">
        <v>124</v>
      </c>
      <c r="M33" s="46" t="s">
        <v>124</v>
      </c>
      <c r="N33" s="46" t="s">
        <v>124</v>
      </c>
      <c r="O33" s="46" t="s">
        <v>124</v>
      </c>
      <c r="P33" s="46" t="s">
        <v>124</v>
      </c>
      <c r="Q33" s="46" t="s">
        <v>124</v>
      </c>
      <c r="R33" s="46" t="s">
        <v>124</v>
      </c>
      <c r="S33" s="46" t="s">
        <v>124</v>
      </c>
      <c r="T33" s="46" t="s">
        <v>124</v>
      </c>
      <c r="U33" s="46" t="s">
        <v>124</v>
      </c>
      <c r="V33" s="46" t="s">
        <v>124</v>
      </c>
      <c r="W33" s="5">
        <v>0</v>
      </c>
      <c r="X33" s="5">
        <v>5</v>
      </c>
      <c r="Y33" s="5">
        <v>3</v>
      </c>
      <c r="Z33" s="5">
        <v>4</v>
      </c>
      <c r="AA33" s="5">
        <v>5</v>
      </c>
      <c r="AB33" s="5">
        <v>7</v>
      </c>
      <c r="AC33" s="5">
        <v>4</v>
      </c>
      <c r="AD33" s="5">
        <v>3</v>
      </c>
      <c r="AE33" s="5">
        <v>2</v>
      </c>
      <c r="AF33" s="5">
        <v>10</v>
      </c>
      <c r="AG33" s="5">
        <v>5</v>
      </c>
      <c r="AH33" s="5">
        <v>14</v>
      </c>
      <c r="AI33" s="5">
        <v>5</v>
      </c>
      <c r="AJ33" s="5">
        <v>0</v>
      </c>
      <c r="AK33" s="5">
        <v>6</v>
      </c>
      <c r="AL33" s="5">
        <v>2</v>
      </c>
      <c r="AM33" s="5">
        <v>1</v>
      </c>
      <c r="AN33" s="5">
        <v>3</v>
      </c>
      <c r="AO33" s="5">
        <v>1</v>
      </c>
      <c r="AP33" s="5">
        <v>2</v>
      </c>
      <c r="AQ33" s="5">
        <v>1</v>
      </c>
      <c r="AR33" s="5">
        <v>0</v>
      </c>
      <c r="AS33" s="5">
        <v>0</v>
      </c>
      <c r="AT33" s="5">
        <v>1</v>
      </c>
      <c r="AU33" s="5"/>
      <c r="AV33" s="8">
        <f t="shared" si="5"/>
        <v>0.33333333333333331</v>
      </c>
      <c r="AW33" s="8">
        <f t="shared" si="6"/>
        <v>0.8</v>
      </c>
      <c r="AX33" s="8">
        <f t="shared" si="7"/>
        <v>1.7</v>
      </c>
      <c r="AY33" s="8"/>
      <c r="AZ33" s="47">
        <f t="shared" si="8"/>
        <v>-0.41176470588235292</v>
      </c>
      <c r="BA33" s="15"/>
    </row>
    <row r="34" spans="2:53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6"/>
      <c r="AW34" s="10"/>
      <c r="AX34" s="10"/>
      <c r="AY34" s="15"/>
      <c r="AZ34" s="15"/>
      <c r="BA34" s="15"/>
    </row>
    <row r="35" spans="2:53" ht="11.25" customHeight="1">
      <c r="B35" s="5" t="s">
        <v>98</v>
      </c>
      <c r="C35" s="5" t="s">
        <v>13</v>
      </c>
      <c r="D35" s="5" t="s">
        <v>57</v>
      </c>
      <c r="E35" s="5">
        <v>39</v>
      </c>
      <c r="F35" s="5">
        <v>19</v>
      </c>
      <c r="G35" s="5">
        <v>19</v>
      </c>
      <c r="H35" s="5">
        <v>23</v>
      </c>
      <c r="I35" s="5">
        <v>27</v>
      </c>
      <c r="J35" s="5">
        <v>21</v>
      </c>
      <c r="K35" s="5">
        <v>21</v>
      </c>
      <c r="L35" s="5">
        <v>20</v>
      </c>
      <c r="M35" s="5">
        <v>21</v>
      </c>
      <c r="N35" s="5">
        <v>19</v>
      </c>
      <c r="O35" s="5">
        <v>15</v>
      </c>
      <c r="P35" s="5">
        <v>15</v>
      </c>
      <c r="Q35" s="5">
        <v>10</v>
      </c>
      <c r="R35" s="5">
        <v>14</v>
      </c>
      <c r="S35" s="5">
        <f>13+11</f>
        <v>24</v>
      </c>
      <c r="T35" s="5">
        <v>20</v>
      </c>
      <c r="U35" s="5">
        <v>26</v>
      </c>
      <c r="V35" s="5">
        <v>24</v>
      </c>
      <c r="W35" s="5">
        <v>20</v>
      </c>
      <c r="X35" s="5">
        <f>15+8</f>
        <v>23</v>
      </c>
      <c r="Y35" s="5">
        <f>6+7</f>
        <v>13</v>
      </c>
      <c r="Z35" s="5">
        <f>7+11</f>
        <v>18</v>
      </c>
      <c r="AA35" s="5">
        <v>16</v>
      </c>
      <c r="AB35" s="5">
        <v>15</v>
      </c>
      <c r="AC35" s="5">
        <v>19</v>
      </c>
      <c r="AD35" s="5">
        <v>23</v>
      </c>
      <c r="AE35" s="5">
        <v>9</v>
      </c>
      <c r="AF35" s="5">
        <v>13</v>
      </c>
      <c r="AG35" s="5">
        <v>18</v>
      </c>
      <c r="AH35" s="5">
        <v>14</v>
      </c>
      <c r="AI35" s="5">
        <v>16</v>
      </c>
      <c r="AJ35" s="5">
        <v>13</v>
      </c>
      <c r="AK35" s="5">
        <v>17</v>
      </c>
      <c r="AL35" s="5">
        <v>8</v>
      </c>
      <c r="AM35" s="5">
        <v>13</v>
      </c>
      <c r="AN35" s="5">
        <v>11</v>
      </c>
      <c r="AO35" s="5">
        <v>19</v>
      </c>
      <c r="AP35" s="5">
        <v>17</v>
      </c>
      <c r="AQ35" s="5">
        <v>28</v>
      </c>
      <c r="AR35" s="5">
        <v>13</v>
      </c>
      <c r="AS35" s="5">
        <v>20</v>
      </c>
      <c r="AT35" s="5">
        <v>10</v>
      </c>
      <c r="AU35" s="5"/>
      <c r="AV35" s="8">
        <f t="shared" ref="AV35:AV37" si="9">IF(SUM(AR35:AT35)&gt;=0,AVERAGE(AR35:AT35),"")</f>
        <v>14.333333333333334</v>
      </c>
      <c r="AW35" s="8">
        <f t="shared" ref="AW35:AW37" si="10">IF(SUM(AP35:AT35)&gt;=0,AVERAGE(AP35:AT35),"")</f>
        <v>17.600000000000001</v>
      </c>
      <c r="AX35" s="8">
        <f t="shared" ref="AX35:AX37" si="11">IF(SUM(AK35:AT35)&gt;=0,AVERAGE(AK35:AT35),"")</f>
        <v>15.6</v>
      </c>
      <c r="AY35" s="8"/>
      <c r="AZ35" s="47">
        <f t="shared" ref="AZ35:AZ37" si="12">(AT35-AX35)/AX35</f>
        <v>-0.35897435897435898</v>
      </c>
      <c r="BA35" s="15"/>
    </row>
    <row r="36" spans="2:53" ht="11.25" customHeight="1">
      <c r="B36" s="5"/>
      <c r="C36" s="5"/>
      <c r="D36" s="5" t="s">
        <v>8</v>
      </c>
      <c r="E36" s="5">
        <v>2</v>
      </c>
      <c r="F36" s="5">
        <v>5</v>
      </c>
      <c r="G36" s="5">
        <v>4</v>
      </c>
      <c r="H36" s="5">
        <v>3</v>
      </c>
      <c r="I36" s="5">
        <v>13</v>
      </c>
      <c r="J36" s="5">
        <v>4</v>
      </c>
      <c r="K36" s="5">
        <v>5</v>
      </c>
      <c r="L36" s="5">
        <v>4</v>
      </c>
      <c r="M36" s="5">
        <v>6</v>
      </c>
      <c r="N36" s="5">
        <v>11</v>
      </c>
      <c r="O36" s="5">
        <v>4</v>
      </c>
      <c r="P36" s="5">
        <v>5</v>
      </c>
      <c r="Q36" s="5">
        <v>7</v>
      </c>
      <c r="R36" s="5">
        <v>1</v>
      </c>
      <c r="S36" s="5">
        <v>4</v>
      </c>
      <c r="T36" s="5">
        <v>13</v>
      </c>
      <c r="U36" s="5">
        <v>10</v>
      </c>
      <c r="V36" s="5">
        <v>9</v>
      </c>
      <c r="W36" s="5">
        <v>14</v>
      </c>
      <c r="X36" s="5">
        <v>9</v>
      </c>
      <c r="Y36" s="5">
        <f>5+1+1</f>
        <v>7</v>
      </c>
      <c r="Z36" s="5">
        <v>15</v>
      </c>
      <c r="AA36" s="5">
        <f>7+1+1</f>
        <v>9</v>
      </c>
      <c r="AB36" s="5">
        <v>11</v>
      </c>
      <c r="AC36" s="5">
        <v>9</v>
      </c>
      <c r="AD36" s="5">
        <v>11</v>
      </c>
      <c r="AE36" s="5">
        <v>6</v>
      </c>
      <c r="AF36" s="5">
        <v>14</v>
      </c>
      <c r="AG36" s="5">
        <v>11</v>
      </c>
      <c r="AH36" s="5">
        <v>8</v>
      </c>
      <c r="AI36" s="5">
        <v>10</v>
      </c>
      <c r="AJ36" s="5">
        <v>9</v>
      </c>
      <c r="AK36" s="5">
        <v>14</v>
      </c>
      <c r="AL36" s="5">
        <v>9</v>
      </c>
      <c r="AM36" s="5">
        <v>18</v>
      </c>
      <c r="AN36" s="5">
        <v>12</v>
      </c>
      <c r="AO36" s="5">
        <v>12</v>
      </c>
      <c r="AP36" s="5">
        <v>13</v>
      </c>
      <c r="AQ36" s="5">
        <v>17</v>
      </c>
      <c r="AR36" s="5">
        <v>12</v>
      </c>
      <c r="AS36" s="5">
        <v>16</v>
      </c>
      <c r="AT36" s="5">
        <v>5</v>
      </c>
      <c r="AU36" s="5"/>
      <c r="AV36" s="8">
        <f t="shared" si="9"/>
        <v>11</v>
      </c>
      <c r="AW36" s="8">
        <f t="shared" si="10"/>
        <v>12.6</v>
      </c>
      <c r="AX36" s="8">
        <f t="shared" si="11"/>
        <v>12.8</v>
      </c>
      <c r="AY36" s="8"/>
      <c r="AZ36" s="47">
        <f t="shared" si="12"/>
        <v>-0.609375</v>
      </c>
      <c r="BA36" s="15"/>
    </row>
    <row r="37" spans="2:53" ht="11.25" customHeight="1">
      <c r="B37" s="5"/>
      <c r="C37" s="5"/>
      <c r="D37" s="5" t="s">
        <v>9</v>
      </c>
      <c r="E37" s="5">
        <v>3</v>
      </c>
      <c r="F37" s="5">
        <v>1</v>
      </c>
      <c r="G37" s="5">
        <v>3</v>
      </c>
      <c r="H37" s="5">
        <v>2</v>
      </c>
      <c r="I37" s="5">
        <v>3</v>
      </c>
      <c r="J37" s="5">
        <v>0</v>
      </c>
      <c r="K37" s="5">
        <v>4</v>
      </c>
      <c r="L37" s="5">
        <v>2</v>
      </c>
      <c r="M37" s="5">
        <v>2</v>
      </c>
      <c r="N37" s="5">
        <v>2</v>
      </c>
      <c r="O37" s="5">
        <v>7</v>
      </c>
      <c r="P37" s="5">
        <v>4</v>
      </c>
      <c r="Q37" s="5">
        <v>3</v>
      </c>
      <c r="R37" s="5">
        <v>4</v>
      </c>
      <c r="S37" s="5">
        <f>3+3+1</f>
        <v>7</v>
      </c>
      <c r="T37" s="5">
        <v>4</v>
      </c>
      <c r="U37" s="5">
        <v>3</v>
      </c>
      <c r="V37" s="5">
        <v>7</v>
      </c>
      <c r="W37" s="5">
        <v>4</v>
      </c>
      <c r="X37" s="5">
        <v>7</v>
      </c>
      <c r="Y37" s="5">
        <f>3+1+2+1</f>
        <v>7</v>
      </c>
      <c r="Z37" s="5">
        <v>3</v>
      </c>
      <c r="AA37" s="5">
        <f>7+1+1</f>
        <v>9</v>
      </c>
      <c r="AB37" s="5">
        <v>4</v>
      </c>
      <c r="AC37" s="5">
        <v>8</v>
      </c>
      <c r="AD37" s="5">
        <v>5</v>
      </c>
      <c r="AE37" s="5">
        <v>5</v>
      </c>
      <c r="AF37" s="5">
        <v>4</v>
      </c>
      <c r="AG37" s="5">
        <v>4</v>
      </c>
      <c r="AH37" s="5">
        <v>4</v>
      </c>
      <c r="AI37" s="5">
        <v>4</v>
      </c>
      <c r="AJ37" s="5">
        <v>7</v>
      </c>
      <c r="AK37" s="5">
        <v>7</v>
      </c>
      <c r="AL37" s="5">
        <v>5</v>
      </c>
      <c r="AM37" s="5">
        <v>5</v>
      </c>
      <c r="AN37" s="5">
        <v>8</v>
      </c>
      <c r="AO37" s="5">
        <v>5</v>
      </c>
      <c r="AP37" s="5">
        <v>7</v>
      </c>
      <c r="AQ37" s="5">
        <v>4</v>
      </c>
      <c r="AR37" s="5">
        <v>8</v>
      </c>
      <c r="AS37" s="5">
        <v>9</v>
      </c>
      <c r="AT37" s="5">
        <v>4</v>
      </c>
      <c r="AU37" s="5"/>
      <c r="AV37" s="8">
        <f t="shared" si="9"/>
        <v>7</v>
      </c>
      <c r="AW37" s="8">
        <f t="shared" si="10"/>
        <v>6.4</v>
      </c>
      <c r="AX37" s="8">
        <f t="shared" si="11"/>
        <v>6.2</v>
      </c>
      <c r="AY37" s="8"/>
      <c r="AZ37" s="47">
        <f t="shared" si="12"/>
        <v>-0.35483870967741937</v>
      </c>
      <c r="BA37" s="15"/>
    </row>
    <row r="38" spans="2:53" ht="11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0"/>
      <c r="AW38" s="10"/>
      <c r="AX38" s="10"/>
      <c r="AY38" s="15"/>
      <c r="AZ38" s="15"/>
      <c r="BA38" s="15"/>
    </row>
    <row r="39" spans="2:53" ht="11.25" customHeight="1">
      <c r="B39" s="5" t="s">
        <v>286</v>
      </c>
      <c r="C39" s="5" t="s">
        <v>300</v>
      </c>
      <c r="D39" s="5" t="s">
        <v>56</v>
      </c>
      <c r="E39" s="5">
        <v>21</v>
      </c>
      <c r="F39" s="5">
        <v>19</v>
      </c>
      <c r="G39" s="5">
        <v>28</v>
      </c>
      <c r="H39" s="5">
        <v>43</v>
      </c>
      <c r="I39" s="5">
        <v>57</v>
      </c>
      <c r="J39" s="5">
        <v>51</v>
      </c>
      <c r="K39" s="5">
        <v>41</v>
      </c>
      <c r="L39" s="5">
        <v>72</v>
      </c>
      <c r="M39" s="5">
        <v>49</v>
      </c>
      <c r="N39" s="5">
        <v>48</v>
      </c>
      <c r="O39" s="5">
        <v>56</v>
      </c>
      <c r="P39" s="5">
        <v>68</v>
      </c>
      <c r="Q39" s="5">
        <f>63+8</f>
        <v>71</v>
      </c>
      <c r="R39" s="5">
        <f>15+75</f>
        <v>90</v>
      </c>
      <c r="S39" s="5">
        <f>1+53+10+25+1+1</f>
        <v>91</v>
      </c>
      <c r="T39" s="5">
        <v>89</v>
      </c>
      <c r="U39" s="5">
        <v>95</v>
      </c>
      <c r="V39" s="5">
        <v>91</v>
      </c>
      <c r="W39" s="5">
        <v>97</v>
      </c>
      <c r="X39" s="5">
        <v>122</v>
      </c>
      <c r="Y39" s="5">
        <v>102</v>
      </c>
      <c r="Z39" s="5">
        <v>103</v>
      </c>
      <c r="AA39" s="5">
        <v>99</v>
      </c>
      <c r="AB39" s="5">
        <v>118</v>
      </c>
      <c r="AC39" s="5">
        <f>83+56</f>
        <v>139</v>
      </c>
      <c r="AD39" s="5">
        <f>1+135</f>
        <v>136</v>
      </c>
      <c r="AE39" s="5">
        <f>3+120</f>
        <v>123</v>
      </c>
      <c r="AF39" s="5">
        <f>4+144</f>
        <v>148</v>
      </c>
      <c r="AG39" s="5">
        <f>2+139</f>
        <v>141</v>
      </c>
      <c r="AH39" s="5">
        <f>2+139</f>
        <v>141</v>
      </c>
      <c r="AI39" s="5">
        <f>1+123</f>
        <v>124</v>
      </c>
      <c r="AJ39" s="5">
        <f>1+97</f>
        <v>98</v>
      </c>
      <c r="AK39" s="5">
        <v>106</v>
      </c>
      <c r="AL39" s="5">
        <v>98</v>
      </c>
      <c r="AM39" s="5">
        <v>83</v>
      </c>
      <c r="AN39" s="5">
        <v>93</v>
      </c>
      <c r="AO39" s="5">
        <v>101</v>
      </c>
      <c r="AP39" s="5">
        <v>108</v>
      </c>
      <c r="AQ39" s="5">
        <v>115</v>
      </c>
      <c r="AR39" s="5">
        <v>79</v>
      </c>
      <c r="AS39" s="5">
        <v>74</v>
      </c>
      <c r="AT39" s="5">
        <v>68</v>
      </c>
      <c r="AU39" s="5"/>
      <c r="AV39" s="8">
        <f t="shared" ref="AV39:AV40" si="13">IF(SUM(AR39:AT39)&gt;=0,AVERAGE(AR39:AT39),"")</f>
        <v>73.666666666666671</v>
      </c>
      <c r="AW39" s="6" t="s">
        <v>125</v>
      </c>
      <c r="AX39" s="6" t="s">
        <v>125</v>
      </c>
      <c r="AY39" s="15"/>
      <c r="AZ39" s="15"/>
      <c r="BA39" s="15"/>
    </row>
    <row r="40" spans="2:53" ht="11.25" customHeight="1">
      <c r="B40" s="5"/>
      <c r="C40" s="5"/>
      <c r="D40" s="5" t="s">
        <v>157</v>
      </c>
      <c r="E40" s="5"/>
      <c r="F40" s="5"/>
      <c r="G40" s="5"/>
      <c r="H40" s="5"/>
      <c r="I40" s="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5">
        <v>0</v>
      </c>
      <c r="AC40" s="5">
        <v>0</v>
      </c>
      <c r="AD40" s="5">
        <v>2</v>
      </c>
      <c r="AE40" s="5">
        <f>1+1</f>
        <v>2</v>
      </c>
      <c r="AF40" s="5">
        <f>3+4</f>
        <v>7</v>
      </c>
      <c r="AG40" s="5">
        <f>2+13</f>
        <v>15</v>
      </c>
      <c r="AH40" s="5">
        <f>1+13</f>
        <v>14</v>
      </c>
      <c r="AI40" s="5">
        <v>16</v>
      </c>
      <c r="AJ40" s="5">
        <v>8</v>
      </c>
      <c r="AK40" s="5">
        <v>13</v>
      </c>
      <c r="AL40" s="5">
        <v>6</v>
      </c>
      <c r="AM40" s="5">
        <v>17</v>
      </c>
      <c r="AN40" s="5">
        <v>4</v>
      </c>
      <c r="AO40" s="5">
        <v>8</v>
      </c>
      <c r="AP40" s="5">
        <v>7</v>
      </c>
      <c r="AQ40" s="5">
        <v>2</v>
      </c>
      <c r="AR40" s="5">
        <v>7</v>
      </c>
      <c r="AS40" s="5">
        <v>6</v>
      </c>
      <c r="AT40" s="5">
        <v>4</v>
      </c>
      <c r="AU40" s="5"/>
      <c r="AV40" s="8">
        <f t="shared" si="13"/>
        <v>5.666666666666667</v>
      </c>
      <c r="AW40" s="6" t="s">
        <v>125</v>
      </c>
      <c r="AX40" s="6" t="s">
        <v>125</v>
      </c>
      <c r="AY40" s="15"/>
      <c r="AZ40" s="15"/>
      <c r="BA40" s="15"/>
    </row>
    <row r="41" spans="2:53" ht="11.25" customHeight="1">
      <c r="B41" s="5"/>
      <c r="C41" s="5" t="s">
        <v>294</v>
      </c>
      <c r="D41" s="5" t="s">
        <v>305</v>
      </c>
      <c r="E41" s="5"/>
      <c r="F41" s="5"/>
      <c r="G41" s="5"/>
      <c r="H41" s="5"/>
      <c r="I41" s="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>
        <v>2</v>
      </c>
      <c r="AT41" s="5">
        <v>0</v>
      </c>
      <c r="AU41" s="5"/>
      <c r="AV41" s="6" t="s">
        <v>125</v>
      </c>
      <c r="AW41" s="6" t="s">
        <v>125</v>
      </c>
      <c r="AX41" s="6" t="s">
        <v>125</v>
      </c>
      <c r="AY41" s="15"/>
      <c r="AZ41" s="15"/>
      <c r="BA41" s="15"/>
    </row>
    <row r="42" spans="2:53" ht="11.25" customHeight="1">
      <c r="B42" s="5"/>
      <c r="C42" s="5" t="s">
        <v>297</v>
      </c>
      <c r="D42" s="5" t="s">
        <v>309</v>
      </c>
      <c r="E42" s="5"/>
      <c r="F42" s="5"/>
      <c r="G42" s="5"/>
      <c r="H42" s="5"/>
      <c r="I42" s="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>
        <v>0</v>
      </c>
      <c r="AS42" s="5">
        <v>3</v>
      </c>
      <c r="AT42" s="5">
        <v>6</v>
      </c>
      <c r="AU42" s="5"/>
      <c r="AV42" s="8">
        <f t="shared" ref="AV42:AV43" si="14">IF(SUM(AR42:AT42)&gt;=0,AVERAGE(AR42:AT42),"")</f>
        <v>3</v>
      </c>
      <c r="AW42" s="6" t="s">
        <v>125</v>
      </c>
      <c r="AX42" s="6" t="s">
        <v>125</v>
      </c>
      <c r="AY42" s="15"/>
      <c r="AZ42" s="15"/>
      <c r="BA42" s="15"/>
    </row>
    <row r="43" spans="2:53" ht="11.25" customHeight="1">
      <c r="B43" s="5"/>
      <c r="C43" s="5" t="s">
        <v>301</v>
      </c>
      <c r="D43" s="5" t="s">
        <v>225</v>
      </c>
      <c r="E43" s="5"/>
      <c r="F43" s="5"/>
      <c r="G43" s="5"/>
      <c r="H43" s="5"/>
      <c r="I43" s="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>
        <v>32</v>
      </c>
      <c r="AS43" s="5">
        <v>47</v>
      </c>
      <c r="AT43" s="5">
        <v>44</v>
      </c>
      <c r="AU43" s="5"/>
      <c r="AV43" s="8">
        <f t="shared" si="14"/>
        <v>41</v>
      </c>
      <c r="AW43" s="6" t="s">
        <v>125</v>
      </c>
      <c r="AX43" s="6" t="s">
        <v>125</v>
      </c>
      <c r="AY43" s="15"/>
      <c r="AZ43" s="15"/>
      <c r="BA43" s="15"/>
    </row>
    <row r="44" spans="2:5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2:53" ht="11.25" customHeight="1">
      <c r="B45" s="5" t="s">
        <v>99</v>
      </c>
      <c r="C45" s="5" t="s">
        <v>153</v>
      </c>
      <c r="D45" s="5" t="s">
        <v>7</v>
      </c>
      <c r="E45" s="5">
        <v>83</v>
      </c>
      <c r="F45" s="5">
        <v>67</v>
      </c>
      <c r="G45" s="5">
        <v>65</v>
      </c>
      <c r="H45" s="5">
        <v>76</v>
      </c>
      <c r="I45" s="5">
        <v>61</v>
      </c>
      <c r="J45" s="5">
        <v>50</v>
      </c>
      <c r="K45" s="5">
        <v>50</v>
      </c>
      <c r="L45" s="5">
        <v>48</v>
      </c>
      <c r="M45" s="5">
        <v>34</v>
      </c>
      <c r="N45" s="5">
        <v>49</v>
      </c>
      <c r="O45" s="5">
        <v>49</v>
      </c>
      <c r="P45" s="5">
        <v>58</v>
      </c>
      <c r="Q45" s="5">
        <v>42</v>
      </c>
      <c r="R45" s="5">
        <v>68</v>
      </c>
      <c r="S45" s="5">
        <f>6+1+8+3+52</f>
        <v>70</v>
      </c>
      <c r="T45" s="5">
        <v>78</v>
      </c>
      <c r="U45" s="5">
        <v>87</v>
      </c>
      <c r="V45" s="5">
        <v>87</v>
      </c>
      <c r="W45" s="5">
        <v>109</v>
      </c>
      <c r="X45" s="5">
        <v>106</v>
      </c>
      <c r="Y45" s="5">
        <v>84</v>
      </c>
      <c r="Z45" s="5">
        <v>85</v>
      </c>
      <c r="AA45" s="5">
        <v>101</v>
      </c>
      <c r="AB45" s="5">
        <v>113</v>
      </c>
      <c r="AC45" s="5">
        <v>105</v>
      </c>
      <c r="AD45" s="5">
        <v>104</v>
      </c>
      <c r="AE45" s="5">
        <v>123</v>
      </c>
      <c r="AF45" s="5">
        <v>127</v>
      </c>
      <c r="AG45" s="5">
        <v>133</v>
      </c>
      <c r="AH45" s="5">
        <v>107</v>
      </c>
      <c r="AI45" s="5">
        <v>102</v>
      </c>
      <c r="AJ45" s="5">
        <v>102</v>
      </c>
      <c r="AK45" s="5">
        <v>122</v>
      </c>
      <c r="AL45" s="5">
        <v>118</v>
      </c>
      <c r="AM45" s="5">
        <v>97</v>
      </c>
      <c r="AN45" s="5">
        <v>126</v>
      </c>
      <c r="AO45" s="5">
        <v>123</v>
      </c>
      <c r="AP45" s="5">
        <v>149</v>
      </c>
      <c r="AQ45" s="5">
        <v>144</v>
      </c>
      <c r="AR45" s="5">
        <v>114</v>
      </c>
      <c r="AS45" s="5">
        <v>88</v>
      </c>
      <c r="AT45" s="5">
        <v>87</v>
      </c>
      <c r="AU45" s="5"/>
      <c r="AV45" s="8">
        <f t="shared" ref="AV45:AV47" si="15">IF(SUM(AR45:AT45)&gt;=0,AVERAGE(AR45:AT45),"")</f>
        <v>96.333333333333329</v>
      </c>
      <c r="AW45" s="8">
        <f t="shared" ref="AW45:AW47" si="16">IF(SUM(AP45:AT45)&gt;=0,AVERAGE(AP45:AT45),"")</f>
        <v>116.4</v>
      </c>
      <c r="AX45" s="8">
        <f t="shared" ref="AX45:AX47" si="17">IF(SUM(AK45:AT45)&gt;=0,AVERAGE(AK45:AT45),"")</f>
        <v>116.8</v>
      </c>
      <c r="AY45" s="8"/>
      <c r="AZ45" s="47">
        <f t="shared" ref="AZ45:AZ47" si="18">(AT45-AX45)/AX45</f>
        <v>-0.25513698630136983</v>
      </c>
      <c r="BA45" s="15"/>
    </row>
    <row r="46" spans="2:53" ht="11.25" customHeight="1">
      <c r="B46" s="5"/>
      <c r="C46" s="5"/>
      <c r="D46" s="5" t="s">
        <v>119</v>
      </c>
      <c r="E46" s="5"/>
      <c r="F46" s="5"/>
      <c r="G46" s="5"/>
      <c r="H46" s="5"/>
      <c r="I46" s="46" t="s">
        <v>124</v>
      </c>
      <c r="J46" s="46" t="s">
        <v>124</v>
      </c>
      <c r="K46" s="46" t="s">
        <v>124</v>
      </c>
      <c r="L46" s="46" t="s">
        <v>124</v>
      </c>
      <c r="M46" s="46" t="s">
        <v>124</v>
      </c>
      <c r="N46" s="46" t="s">
        <v>124</v>
      </c>
      <c r="O46" s="46" t="s">
        <v>124</v>
      </c>
      <c r="P46" s="5">
        <v>3</v>
      </c>
      <c r="Q46" s="5">
        <v>2</v>
      </c>
      <c r="R46" s="5">
        <v>6</v>
      </c>
      <c r="S46" s="5">
        <f>2+7</f>
        <v>9</v>
      </c>
      <c r="T46" s="5">
        <v>14</v>
      </c>
      <c r="U46" s="5">
        <v>10</v>
      </c>
      <c r="V46" s="5">
        <v>11</v>
      </c>
      <c r="W46" s="5">
        <v>12</v>
      </c>
      <c r="X46" s="5">
        <v>14</v>
      </c>
      <c r="Y46" s="5">
        <v>28</v>
      </c>
      <c r="Z46" s="5">
        <v>15</v>
      </c>
      <c r="AA46" s="5">
        <v>12</v>
      </c>
      <c r="AB46" s="5">
        <v>10</v>
      </c>
      <c r="AC46" s="5">
        <v>15</v>
      </c>
      <c r="AD46" s="5">
        <v>13</v>
      </c>
      <c r="AE46" s="5">
        <v>12</v>
      </c>
      <c r="AF46" s="5">
        <v>14</v>
      </c>
      <c r="AG46" s="5">
        <v>13</v>
      </c>
      <c r="AH46" s="5">
        <v>14</v>
      </c>
      <c r="AI46" s="5">
        <v>11</v>
      </c>
      <c r="AJ46" s="5">
        <v>11</v>
      </c>
      <c r="AK46" s="5">
        <v>12</v>
      </c>
      <c r="AL46" s="5">
        <v>12</v>
      </c>
      <c r="AM46" s="5">
        <v>20</v>
      </c>
      <c r="AN46" s="5">
        <v>14</v>
      </c>
      <c r="AO46" s="5">
        <v>14</v>
      </c>
      <c r="AP46" s="5">
        <v>10</v>
      </c>
      <c r="AQ46" s="5">
        <v>12</v>
      </c>
      <c r="AR46" s="5">
        <v>14</v>
      </c>
      <c r="AS46" s="5">
        <v>11</v>
      </c>
      <c r="AT46" s="5">
        <v>8</v>
      </c>
      <c r="AU46" s="5"/>
      <c r="AV46" s="8">
        <f t="shared" si="15"/>
        <v>11</v>
      </c>
      <c r="AW46" s="8">
        <f t="shared" si="16"/>
        <v>11</v>
      </c>
      <c r="AX46" s="8">
        <f t="shared" si="17"/>
        <v>12.7</v>
      </c>
      <c r="AY46" s="8"/>
      <c r="AZ46" s="47">
        <f t="shared" si="18"/>
        <v>-0.37007874015748027</v>
      </c>
      <c r="BA46" s="15"/>
    </row>
    <row r="47" spans="2:53" ht="11.25" customHeight="1">
      <c r="B47" s="5"/>
      <c r="C47" s="5"/>
      <c r="D47" s="5" t="s">
        <v>146</v>
      </c>
      <c r="E47" s="5"/>
      <c r="F47" s="5"/>
      <c r="G47" s="5"/>
      <c r="H47" s="5"/>
      <c r="I47" s="46" t="s">
        <v>124</v>
      </c>
      <c r="J47" s="46" t="s">
        <v>124</v>
      </c>
      <c r="K47" s="46" t="s">
        <v>124</v>
      </c>
      <c r="L47" s="46" t="s">
        <v>124</v>
      </c>
      <c r="M47" s="46" t="s">
        <v>124</v>
      </c>
      <c r="N47" s="46" t="s">
        <v>124</v>
      </c>
      <c r="O47" s="46" t="s">
        <v>124</v>
      </c>
      <c r="P47" s="46" t="s">
        <v>124</v>
      </c>
      <c r="Q47" s="46" t="s">
        <v>124</v>
      </c>
      <c r="R47" s="46" t="s">
        <v>124</v>
      </c>
      <c r="S47" s="46" t="s">
        <v>124</v>
      </c>
      <c r="T47" s="46" t="s">
        <v>124</v>
      </c>
      <c r="U47" s="46" t="s">
        <v>124</v>
      </c>
      <c r="V47" s="46" t="s">
        <v>124</v>
      </c>
      <c r="W47" s="46"/>
      <c r="X47" s="5">
        <v>0</v>
      </c>
      <c r="Y47" s="5">
        <v>0</v>
      </c>
      <c r="Z47" s="5">
        <v>0</v>
      </c>
      <c r="AA47" s="5">
        <v>0</v>
      </c>
      <c r="AB47" s="5">
        <v>2</v>
      </c>
      <c r="AC47" s="5">
        <v>2</v>
      </c>
      <c r="AD47" s="5">
        <v>3</v>
      </c>
      <c r="AE47" s="5">
        <v>3</v>
      </c>
      <c r="AF47" s="5">
        <v>3</v>
      </c>
      <c r="AG47" s="5">
        <v>3</v>
      </c>
      <c r="AH47" s="5">
        <v>5</v>
      </c>
      <c r="AI47" s="5">
        <v>3</v>
      </c>
      <c r="AJ47" s="5">
        <v>3</v>
      </c>
      <c r="AK47" s="5">
        <v>2</v>
      </c>
      <c r="AL47" s="5">
        <v>6</v>
      </c>
      <c r="AM47" s="5">
        <v>3</v>
      </c>
      <c r="AN47" s="5">
        <v>2</v>
      </c>
      <c r="AO47" s="5">
        <v>3</v>
      </c>
      <c r="AP47" s="5">
        <v>3</v>
      </c>
      <c r="AQ47" s="5">
        <v>4</v>
      </c>
      <c r="AR47" s="5">
        <v>3</v>
      </c>
      <c r="AS47" s="5">
        <v>5</v>
      </c>
      <c r="AT47" s="5">
        <v>4</v>
      </c>
      <c r="AU47" s="5"/>
      <c r="AV47" s="8">
        <f t="shared" si="15"/>
        <v>4</v>
      </c>
      <c r="AW47" s="8">
        <f t="shared" si="16"/>
        <v>3.8</v>
      </c>
      <c r="AX47" s="8">
        <f t="shared" si="17"/>
        <v>3.5</v>
      </c>
      <c r="AY47" s="8"/>
      <c r="AZ47" s="47">
        <f t="shared" si="18"/>
        <v>0.14285714285714285</v>
      </c>
      <c r="BA47" s="15"/>
    </row>
    <row r="48" spans="2:53" ht="11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0"/>
      <c r="AW48" s="10"/>
      <c r="AX48" s="10"/>
      <c r="AY48" s="15"/>
      <c r="AZ48" s="15"/>
      <c r="BA48" s="15"/>
    </row>
    <row r="49" spans="2:53" ht="11.25" customHeight="1">
      <c r="B49" s="5" t="s">
        <v>15</v>
      </c>
      <c r="C49" s="5" t="s">
        <v>265</v>
      </c>
      <c r="D49" s="5" t="s">
        <v>271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5">
        <v>0</v>
      </c>
      <c r="AP49" s="5">
        <v>3</v>
      </c>
      <c r="AQ49" s="5">
        <v>3</v>
      </c>
      <c r="AR49" s="5">
        <v>5</v>
      </c>
      <c r="AS49" s="5">
        <v>0</v>
      </c>
      <c r="AT49" s="5">
        <v>7</v>
      </c>
      <c r="AU49" s="5"/>
      <c r="AV49" s="8">
        <f t="shared" ref="AV49:AV51" si="19">IF(SUM(AR49:AT49)&gt;=0,AVERAGE(AR49:AT49),"")</f>
        <v>4</v>
      </c>
      <c r="AW49" s="8">
        <f t="shared" ref="AW49:AW51" si="20">IF(SUM(AP49:AT49)&gt;=0,AVERAGE(AP49:AT49),"")</f>
        <v>3.6</v>
      </c>
      <c r="AX49" s="6" t="s">
        <v>125</v>
      </c>
      <c r="AY49" s="15"/>
      <c r="AZ49" s="15"/>
      <c r="BA49" s="15"/>
    </row>
    <row r="50" spans="2:53" ht="11.25" customHeight="1">
      <c r="B50" s="15"/>
      <c r="C50" s="5" t="s">
        <v>16</v>
      </c>
      <c r="D50" s="5" t="s">
        <v>57</v>
      </c>
      <c r="E50" s="5">
        <v>20</v>
      </c>
      <c r="F50" s="5">
        <v>21</v>
      </c>
      <c r="G50" s="5">
        <v>13</v>
      </c>
      <c r="H50" s="5">
        <v>19</v>
      </c>
      <c r="I50" s="5">
        <v>18</v>
      </c>
      <c r="J50" s="5">
        <v>23</v>
      </c>
      <c r="K50" s="5">
        <v>18</v>
      </c>
      <c r="L50" s="5">
        <v>13</v>
      </c>
      <c r="M50" s="5">
        <v>11</v>
      </c>
      <c r="N50" s="5">
        <v>19</v>
      </c>
      <c r="O50" s="5">
        <v>15</v>
      </c>
      <c r="P50" s="5">
        <v>26</v>
      </c>
      <c r="Q50" s="5">
        <v>20</v>
      </c>
      <c r="R50" s="5">
        <v>26</v>
      </c>
      <c r="S50" s="5">
        <f>9+16</f>
        <v>25</v>
      </c>
      <c r="T50" s="5">
        <v>15</v>
      </c>
      <c r="U50" s="5">
        <v>18</v>
      </c>
      <c r="V50" s="5">
        <v>19</v>
      </c>
      <c r="W50" s="5">
        <v>22</v>
      </c>
      <c r="X50" s="5">
        <f>3+12</f>
        <v>15</v>
      </c>
      <c r="Y50" s="5">
        <f>6+11</f>
        <v>17</v>
      </c>
      <c r="Z50" s="5">
        <f>3+9</f>
        <v>12</v>
      </c>
      <c r="AA50" s="5">
        <v>15</v>
      </c>
      <c r="AB50" s="5">
        <v>7</v>
      </c>
      <c r="AC50" s="5">
        <v>16</v>
      </c>
      <c r="AD50" s="5">
        <v>9</v>
      </c>
      <c r="AE50" s="5">
        <v>14</v>
      </c>
      <c r="AF50" s="5">
        <v>23</v>
      </c>
      <c r="AG50" s="5">
        <v>24</v>
      </c>
      <c r="AH50" s="5">
        <v>24</v>
      </c>
      <c r="AI50" s="5">
        <v>24</v>
      </c>
      <c r="AJ50" s="5">
        <v>21</v>
      </c>
      <c r="AK50" s="5">
        <v>18</v>
      </c>
      <c r="AL50" s="5">
        <v>33</v>
      </c>
      <c r="AM50" s="5">
        <v>19</v>
      </c>
      <c r="AN50" s="5">
        <v>21</v>
      </c>
      <c r="AO50" s="5">
        <v>29</v>
      </c>
      <c r="AP50" s="5">
        <v>28</v>
      </c>
      <c r="AQ50" s="5">
        <v>20</v>
      </c>
      <c r="AR50" s="5">
        <v>24</v>
      </c>
      <c r="AS50" s="5">
        <v>18</v>
      </c>
      <c r="AT50" s="5">
        <v>22</v>
      </c>
      <c r="AU50" s="5"/>
      <c r="AV50" s="8">
        <f t="shared" si="19"/>
        <v>21.333333333333332</v>
      </c>
      <c r="AW50" s="8">
        <f t="shared" si="20"/>
        <v>22.4</v>
      </c>
      <c r="AX50" s="8">
        <f t="shared" ref="AX50:AX51" si="21">IF(SUM(AK50:AT50)&gt;=0,AVERAGE(AK50:AT50),"")</f>
        <v>23.2</v>
      </c>
      <c r="AY50" s="8"/>
      <c r="AZ50" s="47">
        <f t="shared" ref="AZ50:AZ51" si="22">(AT50-AX50)/AX50</f>
        <v>-5.1724137931034454E-2</v>
      </c>
      <c r="BA50" s="15"/>
    </row>
    <row r="51" spans="2:53" ht="11.25" customHeight="1">
      <c r="B51" s="5"/>
      <c r="C51" s="5"/>
      <c r="D51" s="5" t="s">
        <v>12</v>
      </c>
      <c r="E51" s="5">
        <v>3</v>
      </c>
      <c r="F51" s="5">
        <v>7</v>
      </c>
      <c r="G51" s="5">
        <v>2</v>
      </c>
      <c r="H51" s="5">
        <v>7</v>
      </c>
      <c r="I51" s="5">
        <v>4</v>
      </c>
      <c r="J51" s="5">
        <v>4</v>
      </c>
      <c r="K51" s="5">
        <v>7</v>
      </c>
      <c r="L51" s="5">
        <v>4</v>
      </c>
      <c r="M51" s="5">
        <v>2</v>
      </c>
      <c r="N51" s="5">
        <v>1</v>
      </c>
      <c r="O51" s="5">
        <v>2</v>
      </c>
      <c r="P51" s="5">
        <v>10</v>
      </c>
      <c r="Q51" s="5">
        <v>1</v>
      </c>
      <c r="R51" s="5">
        <v>2</v>
      </c>
      <c r="S51" s="5">
        <v>5</v>
      </c>
      <c r="T51" s="5">
        <v>3</v>
      </c>
      <c r="U51" s="5">
        <v>9</v>
      </c>
      <c r="V51" s="5">
        <v>6</v>
      </c>
      <c r="W51" s="5">
        <v>7</v>
      </c>
      <c r="X51" s="5">
        <v>8</v>
      </c>
      <c r="Y51" s="5">
        <v>8</v>
      </c>
      <c r="Z51" s="5">
        <v>7</v>
      </c>
      <c r="AA51" s="5">
        <v>8</v>
      </c>
      <c r="AB51" s="5">
        <v>4</v>
      </c>
      <c r="AC51" s="5">
        <v>14</v>
      </c>
      <c r="AD51" s="5">
        <v>6</v>
      </c>
      <c r="AE51" s="5">
        <v>7</v>
      </c>
      <c r="AF51" s="5">
        <v>13</v>
      </c>
      <c r="AG51" s="5">
        <v>11</v>
      </c>
      <c r="AH51" s="5">
        <v>7</v>
      </c>
      <c r="AI51" s="5">
        <v>8</v>
      </c>
      <c r="AJ51" s="5">
        <v>7</v>
      </c>
      <c r="AK51" s="5">
        <v>2</v>
      </c>
      <c r="AL51" s="5">
        <v>14</v>
      </c>
      <c r="AM51" s="5">
        <v>11</v>
      </c>
      <c r="AN51" s="5">
        <v>4</v>
      </c>
      <c r="AO51" s="5">
        <v>5</v>
      </c>
      <c r="AP51" s="5">
        <v>3</v>
      </c>
      <c r="AQ51" s="5">
        <v>12</v>
      </c>
      <c r="AR51" s="5">
        <v>11</v>
      </c>
      <c r="AS51" s="5">
        <v>4</v>
      </c>
      <c r="AT51" s="5">
        <v>10</v>
      </c>
      <c r="AU51" s="5"/>
      <c r="AV51" s="8">
        <f t="shared" si="19"/>
        <v>8.3333333333333339</v>
      </c>
      <c r="AW51" s="8">
        <f t="shared" si="20"/>
        <v>8</v>
      </c>
      <c r="AX51" s="8">
        <f t="shared" si="21"/>
        <v>7.6</v>
      </c>
      <c r="AY51" s="8"/>
      <c r="AZ51" s="47">
        <f t="shared" si="22"/>
        <v>0.31578947368421056</v>
      </c>
      <c r="BA51" s="15"/>
    </row>
    <row r="52" spans="2:53" ht="11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0"/>
      <c r="AW52" s="10"/>
      <c r="AX52" s="10"/>
      <c r="AY52" s="15"/>
      <c r="AZ52" s="15"/>
      <c r="BA52" s="15"/>
    </row>
    <row r="53" spans="2:53" ht="11.25" customHeight="1">
      <c r="B53" s="5" t="s">
        <v>70</v>
      </c>
      <c r="C53" s="5" t="s">
        <v>86</v>
      </c>
      <c r="D53" s="5" t="s">
        <v>145</v>
      </c>
      <c r="E53" s="5"/>
      <c r="F53" s="5"/>
      <c r="G53" s="5"/>
      <c r="H53" s="5"/>
      <c r="I53" s="46" t="s">
        <v>124</v>
      </c>
      <c r="J53" s="46" t="s">
        <v>124</v>
      </c>
      <c r="K53" s="46" t="s">
        <v>124</v>
      </c>
      <c r="L53" s="46" t="s">
        <v>124</v>
      </c>
      <c r="M53" s="46" t="s">
        <v>124</v>
      </c>
      <c r="N53" s="46" t="s">
        <v>124</v>
      </c>
      <c r="O53" s="46" t="s">
        <v>124</v>
      </c>
      <c r="P53" s="46" t="s">
        <v>124</v>
      </c>
      <c r="Q53" s="46" t="s">
        <v>124</v>
      </c>
      <c r="R53" s="46" t="s">
        <v>124</v>
      </c>
      <c r="S53" s="46" t="s">
        <v>124</v>
      </c>
      <c r="T53" s="46" t="s">
        <v>124</v>
      </c>
      <c r="U53" s="46" t="s">
        <v>124</v>
      </c>
      <c r="V53" s="46" t="s">
        <v>124</v>
      </c>
      <c r="W53" s="46"/>
      <c r="X53" s="46"/>
      <c r="Y53" s="5">
        <v>4</v>
      </c>
      <c r="Z53" s="5">
        <v>8</v>
      </c>
      <c r="AA53" s="5">
        <v>6</v>
      </c>
      <c r="AB53" s="5">
        <v>8</v>
      </c>
      <c r="AC53" s="5">
        <v>5</v>
      </c>
      <c r="AD53" s="5">
        <v>11</v>
      </c>
      <c r="AE53" s="5">
        <v>7</v>
      </c>
      <c r="AF53" s="5">
        <v>10</v>
      </c>
      <c r="AG53" s="5">
        <v>6</v>
      </c>
      <c r="AH53" s="5">
        <v>14</v>
      </c>
      <c r="AI53" s="5">
        <v>13</v>
      </c>
      <c r="AJ53" s="5">
        <v>6</v>
      </c>
      <c r="AK53" s="5">
        <v>15</v>
      </c>
      <c r="AL53" s="5">
        <v>7</v>
      </c>
      <c r="AM53" s="5">
        <v>15</v>
      </c>
      <c r="AN53" s="5">
        <v>15</v>
      </c>
      <c r="AO53" s="5">
        <v>11</v>
      </c>
      <c r="AP53" s="5">
        <v>13</v>
      </c>
      <c r="AQ53" s="5">
        <v>7</v>
      </c>
      <c r="AR53" s="5">
        <v>6</v>
      </c>
      <c r="AS53" s="5">
        <v>12</v>
      </c>
      <c r="AT53" s="5">
        <v>7</v>
      </c>
      <c r="AU53" s="5"/>
      <c r="AV53" s="8">
        <f t="shared" ref="AV53:AV56" si="23">IF(SUM(AR53:AT53)&gt;=0,AVERAGE(AR53:AT53),"")</f>
        <v>8.3333333333333339</v>
      </c>
      <c r="AW53" s="8">
        <f t="shared" ref="AW53:AW56" si="24">IF(SUM(AP53:AT53)&gt;=0,AVERAGE(AP53:AT53),"")</f>
        <v>9</v>
      </c>
      <c r="AX53" s="8">
        <f t="shared" ref="AX53:AX56" si="25">IF(SUM(AK53:AT53)&gt;=0,AVERAGE(AK53:AT53),"")</f>
        <v>10.8</v>
      </c>
      <c r="AY53" s="8"/>
      <c r="AZ53" s="47">
        <f t="shared" ref="AZ53:AZ56" si="26">(AT53-AX53)/AX53</f>
        <v>-0.35185185185185192</v>
      </c>
      <c r="BA53" s="15"/>
    </row>
    <row r="54" spans="2:53" ht="11.25" customHeight="1">
      <c r="B54" s="15"/>
      <c r="C54" s="5" t="s">
        <v>17</v>
      </c>
      <c r="D54" s="5" t="s">
        <v>56</v>
      </c>
      <c r="E54" s="5">
        <v>50</v>
      </c>
      <c r="F54" s="5">
        <v>38</v>
      </c>
      <c r="G54" s="5">
        <v>39</v>
      </c>
      <c r="H54" s="5">
        <v>35</v>
      </c>
      <c r="I54" s="5">
        <v>30</v>
      </c>
      <c r="J54" s="5">
        <v>27</v>
      </c>
      <c r="K54" s="5">
        <v>34</v>
      </c>
      <c r="L54" s="5">
        <v>37</v>
      </c>
      <c r="M54" s="5">
        <v>32</v>
      </c>
      <c r="N54" s="5">
        <v>26</v>
      </c>
      <c r="O54" s="5">
        <v>47</v>
      </c>
      <c r="P54" s="5">
        <v>34</v>
      </c>
      <c r="Q54" s="5">
        <v>33</v>
      </c>
      <c r="R54" s="5">
        <v>38</v>
      </c>
      <c r="S54" s="5">
        <v>34</v>
      </c>
      <c r="T54" s="5">
        <v>49</v>
      </c>
      <c r="U54" s="5">
        <v>41</v>
      </c>
      <c r="V54" s="5">
        <v>38</v>
      </c>
      <c r="W54" s="5">
        <v>34</v>
      </c>
      <c r="X54" s="5">
        <v>40</v>
      </c>
      <c r="Y54" s="5">
        <v>52</v>
      </c>
      <c r="Z54" s="5">
        <v>52</v>
      </c>
      <c r="AA54" s="5">
        <v>32</v>
      </c>
      <c r="AB54" s="5">
        <v>45</v>
      </c>
      <c r="AC54" s="5">
        <v>54</v>
      </c>
      <c r="AD54" s="5">
        <v>51</v>
      </c>
      <c r="AE54" s="5">
        <v>47</v>
      </c>
      <c r="AF54" s="5">
        <v>45</v>
      </c>
      <c r="AG54" s="5">
        <v>47</v>
      </c>
      <c r="AH54" s="5">
        <v>49</v>
      </c>
      <c r="AI54" s="5">
        <v>60</v>
      </c>
      <c r="AJ54" s="5">
        <v>51</v>
      </c>
      <c r="AK54" s="5">
        <v>43</v>
      </c>
      <c r="AL54" s="5">
        <v>39</v>
      </c>
      <c r="AM54" s="5">
        <v>36</v>
      </c>
      <c r="AN54" s="5">
        <v>44</v>
      </c>
      <c r="AO54" s="5">
        <v>44</v>
      </c>
      <c r="AP54" s="5">
        <v>43</v>
      </c>
      <c r="AQ54" s="5">
        <v>42</v>
      </c>
      <c r="AR54" s="5">
        <v>25</v>
      </c>
      <c r="AS54" s="5">
        <v>27</v>
      </c>
      <c r="AT54" s="5">
        <v>36</v>
      </c>
      <c r="AU54" s="5"/>
      <c r="AV54" s="8">
        <f t="shared" si="23"/>
        <v>29.333333333333332</v>
      </c>
      <c r="AW54" s="8">
        <f t="shared" si="24"/>
        <v>34.6</v>
      </c>
      <c r="AX54" s="8">
        <f t="shared" si="25"/>
        <v>37.9</v>
      </c>
      <c r="AY54" s="8"/>
      <c r="AZ54" s="47">
        <f t="shared" si="26"/>
        <v>-5.0131926121371996E-2</v>
      </c>
      <c r="BA54" s="15"/>
    </row>
    <row r="55" spans="2:53" ht="11.25" customHeight="1">
      <c r="B55" s="5"/>
      <c r="C55" s="5"/>
      <c r="D55" s="5" t="s">
        <v>12</v>
      </c>
      <c r="E55" s="5">
        <v>13</v>
      </c>
      <c r="F55" s="5">
        <v>11</v>
      </c>
      <c r="G55" s="5">
        <v>5</v>
      </c>
      <c r="H55" s="5">
        <v>8</v>
      </c>
      <c r="I55" s="5">
        <v>3</v>
      </c>
      <c r="J55" s="5">
        <v>10</v>
      </c>
      <c r="K55" s="5">
        <v>3</v>
      </c>
      <c r="L55" s="5">
        <v>9</v>
      </c>
      <c r="M55" s="5">
        <v>3</v>
      </c>
      <c r="N55" s="5">
        <v>4</v>
      </c>
      <c r="O55" s="5">
        <v>10</v>
      </c>
      <c r="P55" s="5">
        <v>6</v>
      </c>
      <c r="Q55" s="5">
        <v>10</v>
      </c>
      <c r="R55" s="5">
        <v>7</v>
      </c>
      <c r="S55" s="5">
        <f>9+1</f>
        <v>10</v>
      </c>
      <c r="T55" s="5">
        <v>19</v>
      </c>
      <c r="U55" s="5">
        <v>12</v>
      </c>
      <c r="V55" s="5">
        <v>14</v>
      </c>
      <c r="W55" s="5">
        <v>12</v>
      </c>
      <c r="X55" s="5">
        <v>7</v>
      </c>
      <c r="Y55" s="5">
        <v>9</v>
      </c>
      <c r="Z55" s="5">
        <v>10</v>
      </c>
      <c r="AA55" s="5">
        <v>8</v>
      </c>
      <c r="AB55" s="5">
        <v>11</v>
      </c>
      <c r="AC55" s="5">
        <v>12</v>
      </c>
      <c r="AD55" s="5">
        <v>9</v>
      </c>
      <c r="AE55" s="5">
        <v>13</v>
      </c>
      <c r="AF55" s="5">
        <v>13</v>
      </c>
      <c r="AG55" s="5">
        <v>15</v>
      </c>
      <c r="AH55" s="5">
        <v>10</v>
      </c>
      <c r="AI55" s="5">
        <v>20</v>
      </c>
      <c r="AJ55" s="5">
        <v>17</v>
      </c>
      <c r="AK55" s="5">
        <v>25</v>
      </c>
      <c r="AL55" s="5">
        <v>28</v>
      </c>
      <c r="AM55" s="5">
        <v>24</v>
      </c>
      <c r="AN55" s="5">
        <v>14</v>
      </c>
      <c r="AO55" s="5">
        <v>21</v>
      </c>
      <c r="AP55" s="5">
        <v>20</v>
      </c>
      <c r="AQ55" s="5">
        <v>17</v>
      </c>
      <c r="AR55" s="5">
        <v>15</v>
      </c>
      <c r="AS55" s="5">
        <v>17</v>
      </c>
      <c r="AT55" s="5">
        <v>6</v>
      </c>
      <c r="AU55" s="5"/>
      <c r="AV55" s="8">
        <f t="shared" si="23"/>
        <v>12.666666666666666</v>
      </c>
      <c r="AW55" s="8">
        <f t="shared" si="24"/>
        <v>15</v>
      </c>
      <c r="AX55" s="8">
        <f t="shared" si="25"/>
        <v>18.7</v>
      </c>
      <c r="AY55" s="8"/>
      <c r="AZ55" s="47">
        <f t="shared" si="26"/>
        <v>-0.67914438502673791</v>
      </c>
      <c r="BA55" s="15"/>
    </row>
    <row r="56" spans="2:53" ht="11.25" customHeight="1">
      <c r="B56" s="5"/>
      <c r="C56" s="5" t="s">
        <v>204</v>
      </c>
      <c r="D56" s="5" t="s">
        <v>184</v>
      </c>
      <c r="E56" s="5"/>
      <c r="F56" s="5"/>
      <c r="G56" s="5"/>
      <c r="H56" s="5"/>
      <c r="I56" s="5"/>
      <c r="J56" s="5"/>
      <c r="K56" s="46" t="s">
        <v>124</v>
      </c>
      <c r="L56" s="46" t="s">
        <v>124</v>
      </c>
      <c r="M56" s="46" t="s">
        <v>124</v>
      </c>
      <c r="N56" s="46" t="s">
        <v>124</v>
      </c>
      <c r="O56" s="46" t="s">
        <v>124</v>
      </c>
      <c r="P56" s="46" t="s">
        <v>124</v>
      </c>
      <c r="Q56" s="46" t="s">
        <v>124</v>
      </c>
      <c r="R56" s="46" t="s">
        <v>124</v>
      </c>
      <c r="S56" s="46" t="s">
        <v>124</v>
      </c>
      <c r="T56" s="46" t="s">
        <v>124</v>
      </c>
      <c r="U56" s="46" t="s">
        <v>124</v>
      </c>
      <c r="V56" s="46" t="s">
        <v>124</v>
      </c>
      <c r="W56" s="46"/>
      <c r="X56" s="46"/>
      <c r="Y56" s="46"/>
      <c r="Z56" s="46"/>
      <c r="AA56" s="46"/>
      <c r="AB56" s="46"/>
      <c r="AC56" s="46"/>
      <c r="AD56" s="46">
        <v>0</v>
      </c>
      <c r="AE56" s="5">
        <v>1</v>
      </c>
      <c r="AF56" s="5">
        <v>1</v>
      </c>
      <c r="AG56" s="46">
        <v>2</v>
      </c>
      <c r="AH56" s="46">
        <v>5</v>
      </c>
      <c r="AI56" s="46">
        <v>1</v>
      </c>
      <c r="AJ56" s="46">
        <v>4</v>
      </c>
      <c r="AK56" s="46">
        <v>5</v>
      </c>
      <c r="AL56" s="46">
        <v>3</v>
      </c>
      <c r="AM56" s="46">
        <v>9</v>
      </c>
      <c r="AN56" s="46">
        <v>4</v>
      </c>
      <c r="AO56" s="46">
        <v>2</v>
      </c>
      <c r="AP56" s="46">
        <v>4</v>
      </c>
      <c r="AQ56" s="46">
        <v>2</v>
      </c>
      <c r="AR56" s="46">
        <v>4</v>
      </c>
      <c r="AS56" s="46">
        <v>1</v>
      </c>
      <c r="AT56" s="46">
        <v>4</v>
      </c>
      <c r="AU56" s="5"/>
      <c r="AV56" s="8">
        <f t="shared" si="23"/>
        <v>3</v>
      </c>
      <c r="AW56" s="8">
        <f t="shared" si="24"/>
        <v>3</v>
      </c>
      <c r="AX56" s="8">
        <f t="shared" si="25"/>
        <v>3.8</v>
      </c>
      <c r="AY56" s="8"/>
      <c r="AZ56" s="47">
        <f t="shared" si="26"/>
        <v>5.2631578947368474E-2</v>
      </c>
      <c r="BA56" s="15"/>
    </row>
    <row r="57" spans="2:53" ht="11.25" customHeight="1">
      <c r="B57" s="5"/>
      <c r="C57" s="5" t="s">
        <v>295</v>
      </c>
      <c r="D57" s="5" t="s">
        <v>305</v>
      </c>
      <c r="E57" s="5"/>
      <c r="F57" s="5"/>
      <c r="G57" s="5"/>
      <c r="H57" s="5"/>
      <c r="I57" s="5"/>
      <c r="J57" s="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"/>
      <c r="AF57" s="5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>
        <v>1</v>
      </c>
      <c r="AT57" s="46">
        <v>1</v>
      </c>
      <c r="AU57" s="5"/>
      <c r="AV57" s="6" t="s">
        <v>125</v>
      </c>
      <c r="AW57" s="6" t="s">
        <v>125</v>
      </c>
      <c r="AX57" s="6" t="s">
        <v>125</v>
      </c>
      <c r="AY57" s="15"/>
      <c r="AZ57" s="15"/>
      <c r="BA57" s="15"/>
    </row>
    <row r="58" spans="2:53" ht="11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0"/>
      <c r="AW58" s="10"/>
      <c r="AX58" s="10"/>
      <c r="AY58" s="15"/>
      <c r="AZ58" s="15"/>
      <c r="BA58" s="15"/>
    </row>
    <row r="59" spans="2:53" ht="11.25" customHeight="1">
      <c r="B59" s="5" t="s">
        <v>100</v>
      </c>
      <c r="C59" s="5" t="s">
        <v>30</v>
      </c>
      <c r="D59" s="5" t="s">
        <v>273</v>
      </c>
      <c r="E59" s="5">
        <v>3</v>
      </c>
      <c r="F59" s="5">
        <v>4</v>
      </c>
      <c r="G59" s="5">
        <v>5</v>
      </c>
      <c r="H59" s="5">
        <v>6</v>
      </c>
      <c r="I59" s="5">
        <v>4</v>
      </c>
      <c r="J59" s="5">
        <v>8</v>
      </c>
      <c r="K59" s="5">
        <v>2</v>
      </c>
      <c r="L59" s="5">
        <v>2</v>
      </c>
      <c r="M59" s="5">
        <v>2</v>
      </c>
      <c r="N59" s="5">
        <v>3</v>
      </c>
      <c r="O59" s="5">
        <v>7</v>
      </c>
      <c r="P59" s="5">
        <v>2</v>
      </c>
      <c r="Q59" s="5">
        <v>6</v>
      </c>
      <c r="R59" s="5">
        <v>3</v>
      </c>
      <c r="S59" s="5">
        <v>3</v>
      </c>
      <c r="T59" s="5">
        <v>2</v>
      </c>
      <c r="U59" s="5">
        <v>9</v>
      </c>
      <c r="V59" s="5">
        <v>3</v>
      </c>
      <c r="W59" s="5">
        <v>3</v>
      </c>
      <c r="X59" s="5">
        <v>4</v>
      </c>
      <c r="Y59" s="5">
        <v>2</v>
      </c>
      <c r="Z59" s="5">
        <v>5</v>
      </c>
      <c r="AA59" s="5">
        <v>7</v>
      </c>
      <c r="AB59" s="5">
        <v>7</v>
      </c>
      <c r="AC59" s="5">
        <v>5</v>
      </c>
      <c r="AD59" s="5">
        <v>7</v>
      </c>
      <c r="AE59" s="5">
        <v>7</v>
      </c>
      <c r="AF59" s="5">
        <v>6</v>
      </c>
      <c r="AG59" s="5">
        <v>3</v>
      </c>
      <c r="AH59" s="5">
        <v>10</v>
      </c>
      <c r="AI59" s="5">
        <v>5</v>
      </c>
      <c r="AJ59" s="5">
        <v>8</v>
      </c>
      <c r="AK59" s="5">
        <v>10</v>
      </c>
      <c r="AL59" s="5">
        <v>3</v>
      </c>
      <c r="AM59" s="5">
        <v>3</v>
      </c>
      <c r="AN59" s="5">
        <v>2</v>
      </c>
      <c r="AO59" s="5">
        <v>1</v>
      </c>
      <c r="AP59" s="5">
        <v>1</v>
      </c>
      <c r="AQ59" s="5"/>
      <c r="AR59" s="5"/>
      <c r="AS59" s="5"/>
      <c r="AT59" s="5"/>
      <c r="AU59" s="5"/>
      <c r="AV59" s="6" t="s">
        <v>125</v>
      </c>
      <c r="AW59" s="6" t="s">
        <v>125</v>
      </c>
      <c r="AX59" s="6" t="s">
        <v>125</v>
      </c>
      <c r="AY59" s="15"/>
      <c r="AZ59" s="15"/>
      <c r="BA59" s="15"/>
    </row>
    <row r="60" spans="2:53" ht="11.25" customHeight="1">
      <c r="B60" s="5"/>
      <c r="C60" s="5" t="s">
        <v>18</v>
      </c>
      <c r="D60" s="5" t="s">
        <v>273</v>
      </c>
      <c r="E60" s="5">
        <v>4</v>
      </c>
      <c r="F60" s="5">
        <v>0</v>
      </c>
      <c r="G60" s="5">
        <v>1</v>
      </c>
      <c r="H60" s="5">
        <v>3</v>
      </c>
      <c r="I60" s="5">
        <v>2</v>
      </c>
      <c r="J60" s="5">
        <v>2</v>
      </c>
      <c r="K60" s="5">
        <v>5</v>
      </c>
      <c r="L60" s="5">
        <v>3</v>
      </c>
      <c r="M60" s="5">
        <v>2</v>
      </c>
      <c r="N60" s="5">
        <v>0</v>
      </c>
      <c r="O60" s="5">
        <v>1</v>
      </c>
      <c r="P60" s="5">
        <v>5</v>
      </c>
      <c r="Q60" s="5">
        <v>3</v>
      </c>
      <c r="R60" s="5">
        <v>3</v>
      </c>
      <c r="S60" s="5">
        <v>5</v>
      </c>
      <c r="T60" s="5">
        <v>2</v>
      </c>
      <c r="U60" s="5">
        <v>7</v>
      </c>
      <c r="V60" s="5">
        <v>4</v>
      </c>
      <c r="W60" s="5">
        <v>0</v>
      </c>
      <c r="X60" s="5">
        <v>7</v>
      </c>
      <c r="Y60" s="5">
        <v>2</v>
      </c>
      <c r="Z60" s="5">
        <v>0</v>
      </c>
      <c r="AA60" s="5">
        <v>1</v>
      </c>
      <c r="AB60" s="5">
        <v>2</v>
      </c>
      <c r="AC60" s="5">
        <v>1</v>
      </c>
      <c r="AD60" s="5">
        <v>5</v>
      </c>
      <c r="AE60" s="5">
        <v>7</v>
      </c>
      <c r="AF60" s="5">
        <v>4</v>
      </c>
      <c r="AG60" s="5">
        <v>1</v>
      </c>
      <c r="AH60" s="5">
        <v>3</v>
      </c>
      <c r="AI60" s="5">
        <v>1</v>
      </c>
      <c r="AJ60" s="5">
        <v>0</v>
      </c>
      <c r="AK60" s="5">
        <v>0</v>
      </c>
      <c r="AL60" s="5">
        <v>2</v>
      </c>
      <c r="AM60" s="5">
        <v>0</v>
      </c>
      <c r="AN60" s="5">
        <v>1</v>
      </c>
      <c r="AO60" s="5">
        <v>0</v>
      </c>
      <c r="AP60" s="5">
        <v>1</v>
      </c>
      <c r="AQ60" s="5"/>
      <c r="AR60" s="5"/>
      <c r="AS60" s="5"/>
      <c r="AT60" s="5"/>
      <c r="AU60" s="5"/>
      <c r="AV60" s="6" t="s">
        <v>125</v>
      </c>
      <c r="AW60" s="6" t="s">
        <v>125</v>
      </c>
      <c r="AX60" s="6" t="s">
        <v>125</v>
      </c>
      <c r="AY60" s="15"/>
      <c r="AZ60" s="15"/>
      <c r="BA60" s="15"/>
    </row>
    <row r="61" spans="2:53" ht="11.25" customHeight="1">
      <c r="B61" s="5"/>
      <c r="C61" s="48" t="s">
        <v>213</v>
      </c>
      <c r="D61" s="5" t="s">
        <v>278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v>4</v>
      </c>
      <c r="AN61" s="5">
        <v>17</v>
      </c>
      <c r="AO61" s="5">
        <v>18</v>
      </c>
      <c r="AP61" s="5">
        <v>30</v>
      </c>
      <c r="AQ61" s="5">
        <v>17</v>
      </c>
      <c r="AR61" s="5">
        <v>14</v>
      </c>
      <c r="AS61" s="5">
        <v>24</v>
      </c>
      <c r="AT61" s="5">
        <v>17</v>
      </c>
      <c r="AU61" s="5"/>
      <c r="AV61" s="8">
        <f>IF(SUM(AR61:AT61)&gt;=0,AVERAGE(AR61:AT61),"")</f>
        <v>18.333333333333332</v>
      </c>
      <c r="AW61" s="8">
        <f>IF(SUM(AP61:AT61)&gt;=0,AVERAGE(AP61:AT61),"")</f>
        <v>20.399999999999999</v>
      </c>
      <c r="AX61" s="6" t="s">
        <v>125</v>
      </c>
      <c r="AY61" s="15"/>
      <c r="AZ61" s="15"/>
      <c r="BA61" s="15"/>
    </row>
    <row r="62" spans="2:53" ht="11.25" customHeight="1">
      <c r="B62" s="5"/>
      <c r="C62" s="5" t="s">
        <v>71</v>
      </c>
      <c r="D62" s="5" t="s">
        <v>273</v>
      </c>
      <c r="E62" s="5">
        <v>5</v>
      </c>
      <c r="F62" s="5">
        <v>5</v>
      </c>
      <c r="G62" s="5">
        <v>4</v>
      </c>
      <c r="H62" s="5">
        <v>7</v>
      </c>
      <c r="I62" s="5">
        <v>5</v>
      </c>
      <c r="J62" s="5">
        <v>2</v>
      </c>
      <c r="K62" s="5">
        <v>4</v>
      </c>
      <c r="L62" s="5">
        <v>5</v>
      </c>
      <c r="M62" s="5">
        <v>3</v>
      </c>
      <c r="N62" s="5">
        <v>4</v>
      </c>
      <c r="O62" s="5">
        <v>7</v>
      </c>
      <c r="P62" s="5">
        <v>9</v>
      </c>
      <c r="Q62" s="5">
        <v>14</v>
      </c>
      <c r="R62" s="5">
        <v>7</v>
      </c>
      <c r="S62" s="5">
        <v>5</v>
      </c>
      <c r="T62" s="5">
        <v>7</v>
      </c>
      <c r="U62" s="5">
        <v>13</v>
      </c>
      <c r="V62" s="5">
        <v>14</v>
      </c>
      <c r="W62" s="5">
        <v>6</v>
      </c>
      <c r="X62" s="5">
        <v>11</v>
      </c>
      <c r="Y62" s="5">
        <v>10</v>
      </c>
      <c r="Z62" s="5">
        <v>11</v>
      </c>
      <c r="AA62" s="5">
        <v>8</v>
      </c>
      <c r="AB62" s="5">
        <v>9</v>
      </c>
      <c r="AC62" s="5">
        <v>9</v>
      </c>
      <c r="AD62" s="5">
        <v>13</v>
      </c>
      <c r="AE62" s="5">
        <v>7</v>
      </c>
      <c r="AF62" s="5">
        <v>14</v>
      </c>
      <c r="AG62" s="5">
        <v>9</v>
      </c>
      <c r="AH62" s="5">
        <v>9</v>
      </c>
      <c r="AI62" s="5">
        <v>11</v>
      </c>
      <c r="AJ62" s="5">
        <v>6</v>
      </c>
      <c r="AK62" s="5">
        <v>6</v>
      </c>
      <c r="AL62" s="5">
        <v>21</v>
      </c>
      <c r="AM62" s="5">
        <v>10</v>
      </c>
      <c r="AN62" s="5">
        <v>1</v>
      </c>
      <c r="AO62" s="5">
        <v>1</v>
      </c>
      <c r="AP62" s="5"/>
      <c r="AQ62" s="5"/>
      <c r="AR62" s="5"/>
      <c r="AS62" s="5"/>
      <c r="AT62" s="5"/>
      <c r="AU62" s="5"/>
      <c r="AV62" s="6" t="s">
        <v>125</v>
      </c>
      <c r="AW62" s="6" t="s">
        <v>125</v>
      </c>
      <c r="AX62" s="6" t="s">
        <v>125</v>
      </c>
      <c r="AY62" s="15"/>
      <c r="AZ62" s="15"/>
      <c r="BA62" s="15"/>
    </row>
    <row r="63" spans="2:53" ht="11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0"/>
      <c r="AW63" s="10"/>
      <c r="AX63" s="10"/>
      <c r="AY63" s="15"/>
      <c r="AZ63" s="15"/>
      <c r="BA63" s="15"/>
    </row>
    <row r="64" spans="2:53" ht="11.25" customHeight="1">
      <c r="B64" s="5" t="s">
        <v>19</v>
      </c>
      <c r="C64" s="5" t="s">
        <v>20</v>
      </c>
      <c r="D64" s="5" t="s">
        <v>56</v>
      </c>
      <c r="E64" s="5">
        <v>14</v>
      </c>
      <c r="F64" s="5">
        <v>32</v>
      </c>
      <c r="G64" s="5">
        <v>25</v>
      </c>
      <c r="H64" s="5">
        <v>16</v>
      </c>
      <c r="I64" s="5">
        <v>17</v>
      </c>
      <c r="J64" s="5">
        <v>12</v>
      </c>
      <c r="K64" s="5">
        <v>21</v>
      </c>
      <c r="L64" s="5">
        <v>15</v>
      </c>
      <c r="M64" s="5">
        <v>14</v>
      </c>
      <c r="N64" s="5">
        <v>20</v>
      </c>
      <c r="O64" s="5">
        <v>22</v>
      </c>
      <c r="P64" s="5">
        <v>18</v>
      </c>
      <c r="Q64" s="5">
        <v>19</v>
      </c>
      <c r="R64" s="5">
        <v>18</v>
      </c>
      <c r="S64" s="5">
        <v>25</v>
      </c>
      <c r="T64" s="5">
        <v>23</v>
      </c>
      <c r="U64" s="5">
        <v>21</v>
      </c>
      <c r="V64" s="5">
        <v>28</v>
      </c>
      <c r="W64" s="5">
        <v>13</v>
      </c>
      <c r="X64" s="5">
        <v>24</v>
      </c>
      <c r="Y64" s="5">
        <v>20</v>
      </c>
      <c r="Z64" s="5">
        <v>20</v>
      </c>
      <c r="AA64" s="5">
        <v>20</v>
      </c>
      <c r="AB64" s="5">
        <v>18</v>
      </c>
      <c r="AC64" s="5">
        <v>31</v>
      </c>
      <c r="AD64" s="5">
        <v>21</v>
      </c>
      <c r="AE64" s="5">
        <v>22</v>
      </c>
      <c r="AF64" s="5">
        <v>26</v>
      </c>
      <c r="AG64" s="5">
        <v>33</v>
      </c>
      <c r="AH64" s="5">
        <v>30</v>
      </c>
      <c r="AI64" s="5">
        <v>28</v>
      </c>
      <c r="AJ64" s="5">
        <v>26</v>
      </c>
      <c r="AK64" s="5">
        <v>31</v>
      </c>
      <c r="AL64" s="5">
        <v>22</v>
      </c>
      <c r="AM64" s="5">
        <v>33</v>
      </c>
      <c r="AN64" s="5">
        <v>20</v>
      </c>
      <c r="AO64" s="5">
        <v>33</v>
      </c>
      <c r="AP64" s="5">
        <v>34</v>
      </c>
      <c r="AQ64" s="5">
        <v>27</v>
      </c>
      <c r="AR64" s="5">
        <v>28</v>
      </c>
      <c r="AS64" s="5">
        <v>24</v>
      </c>
      <c r="AT64" s="5">
        <v>19</v>
      </c>
      <c r="AU64" s="5"/>
      <c r="AV64" s="8">
        <f t="shared" ref="AV64:AV65" si="27">IF(SUM(AR64:AT64)&gt;=0,AVERAGE(AR64:AT64),"")</f>
        <v>23.666666666666668</v>
      </c>
      <c r="AW64" s="8">
        <f t="shared" ref="AW64:AW65" si="28">IF(SUM(AP64:AT64)&gt;=0,AVERAGE(AP64:AT64),"")</f>
        <v>26.4</v>
      </c>
      <c r="AX64" s="8">
        <f t="shared" ref="AX64:AX65" si="29">IF(SUM(AK64:AT64)&gt;=0,AVERAGE(AK64:AT64),"")</f>
        <v>27.1</v>
      </c>
      <c r="AY64" s="8"/>
      <c r="AZ64" s="47">
        <f t="shared" ref="AZ64:AZ65" si="30">(AT64-AX64)/AX64</f>
        <v>-0.29889298892988936</v>
      </c>
      <c r="BA64" s="15"/>
    </row>
    <row r="65" spans="2:53" ht="11.25" customHeight="1">
      <c r="B65" s="5"/>
      <c r="C65" s="5"/>
      <c r="D65" s="5" t="s">
        <v>12</v>
      </c>
      <c r="E65" s="5">
        <v>6</v>
      </c>
      <c r="F65" s="5">
        <v>1</v>
      </c>
      <c r="G65" s="5">
        <v>5</v>
      </c>
      <c r="H65" s="5">
        <v>4</v>
      </c>
      <c r="I65" s="5">
        <v>8</v>
      </c>
      <c r="J65" s="5">
        <v>3</v>
      </c>
      <c r="K65" s="5">
        <v>6</v>
      </c>
      <c r="L65" s="5">
        <v>4</v>
      </c>
      <c r="M65" s="5">
        <v>5</v>
      </c>
      <c r="N65" s="5">
        <v>2</v>
      </c>
      <c r="O65" s="5">
        <v>4</v>
      </c>
      <c r="P65" s="5">
        <v>2</v>
      </c>
      <c r="Q65" s="5">
        <v>4</v>
      </c>
      <c r="R65" s="5">
        <v>8</v>
      </c>
      <c r="S65" s="5">
        <v>5</v>
      </c>
      <c r="T65" s="5">
        <v>7</v>
      </c>
      <c r="U65" s="5">
        <v>8</v>
      </c>
      <c r="V65" s="5">
        <v>11</v>
      </c>
      <c r="W65" s="5">
        <v>11</v>
      </c>
      <c r="X65" s="5">
        <v>6</v>
      </c>
      <c r="Y65" s="5">
        <v>6</v>
      </c>
      <c r="Z65" s="5">
        <v>3</v>
      </c>
      <c r="AA65" s="5">
        <v>10</v>
      </c>
      <c r="AB65" s="5">
        <v>17</v>
      </c>
      <c r="AC65" s="5">
        <v>11</v>
      </c>
      <c r="AD65" s="5">
        <v>21</v>
      </c>
      <c r="AE65" s="5">
        <v>19</v>
      </c>
      <c r="AF65" s="5">
        <v>15</v>
      </c>
      <c r="AG65" s="5">
        <v>20</v>
      </c>
      <c r="AH65" s="5">
        <v>23</v>
      </c>
      <c r="AI65" s="5">
        <v>20</v>
      </c>
      <c r="AJ65" s="5">
        <v>28</v>
      </c>
      <c r="AK65" s="5">
        <v>36</v>
      </c>
      <c r="AL65" s="5">
        <v>17</v>
      </c>
      <c r="AM65" s="5">
        <v>19</v>
      </c>
      <c r="AN65" s="5">
        <v>17</v>
      </c>
      <c r="AO65" s="5">
        <v>7</v>
      </c>
      <c r="AP65" s="5">
        <v>19</v>
      </c>
      <c r="AQ65" s="5">
        <v>13</v>
      </c>
      <c r="AR65" s="5">
        <v>23</v>
      </c>
      <c r="AS65" s="5">
        <v>17</v>
      </c>
      <c r="AT65" s="5">
        <v>15</v>
      </c>
      <c r="AU65" s="5"/>
      <c r="AV65" s="8">
        <f t="shared" si="27"/>
        <v>18.333333333333332</v>
      </c>
      <c r="AW65" s="8">
        <f t="shared" si="28"/>
        <v>17.399999999999999</v>
      </c>
      <c r="AX65" s="8">
        <f t="shared" si="29"/>
        <v>18.3</v>
      </c>
      <c r="AY65" s="8"/>
      <c r="AZ65" s="47">
        <f t="shared" si="30"/>
        <v>-0.18032786885245905</v>
      </c>
      <c r="BA65" s="15"/>
    </row>
    <row r="66" spans="2:53" ht="11.25" customHeight="1">
      <c r="B66" s="5"/>
      <c r="C66" s="5" t="s">
        <v>163</v>
      </c>
      <c r="D66" s="5" t="s">
        <v>339</v>
      </c>
      <c r="E66" s="5"/>
      <c r="F66" s="5"/>
      <c r="G66" s="5"/>
      <c r="H66" s="5"/>
      <c r="I66" s="46" t="s">
        <v>124</v>
      </c>
      <c r="J66" s="46" t="s">
        <v>124</v>
      </c>
      <c r="K66" s="46" t="s">
        <v>124</v>
      </c>
      <c r="L66" s="46" t="s">
        <v>124</v>
      </c>
      <c r="M66" s="46" t="s">
        <v>124</v>
      </c>
      <c r="N66" s="46" t="s">
        <v>124</v>
      </c>
      <c r="O66" s="46" t="s">
        <v>124</v>
      </c>
      <c r="P66" s="46" t="s">
        <v>124</v>
      </c>
      <c r="Q66" s="46" t="s">
        <v>124</v>
      </c>
      <c r="R66" s="46" t="s">
        <v>124</v>
      </c>
      <c r="S66" s="46" t="s">
        <v>124</v>
      </c>
      <c r="T66" s="46" t="s">
        <v>124</v>
      </c>
      <c r="U66" s="46" t="s">
        <v>124</v>
      </c>
      <c r="V66" s="46" t="s">
        <v>124</v>
      </c>
      <c r="W66" s="46"/>
      <c r="X66" s="46"/>
      <c r="Y66" s="46"/>
      <c r="Z66" s="46"/>
      <c r="AA66" s="46">
        <v>0</v>
      </c>
      <c r="AB66" s="5">
        <v>5</v>
      </c>
      <c r="AC66" s="5">
        <v>8</v>
      </c>
      <c r="AD66" s="5">
        <v>11</v>
      </c>
      <c r="AE66" s="5">
        <v>11</v>
      </c>
      <c r="AF66" s="5">
        <v>8</v>
      </c>
      <c r="AG66" s="5">
        <v>12</v>
      </c>
      <c r="AH66" s="5">
        <v>8</v>
      </c>
      <c r="AI66" s="5">
        <v>9</v>
      </c>
      <c r="AJ66" s="5">
        <v>11</v>
      </c>
      <c r="AK66" s="5">
        <v>11</v>
      </c>
      <c r="AL66" s="5">
        <v>11</v>
      </c>
      <c r="AM66" s="5">
        <v>10</v>
      </c>
      <c r="AN66" s="5">
        <v>8</v>
      </c>
      <c r="AO66" s="5">
        <v>0</v>
      </c>
      <c r="AP66" s="5">
        <v>10</v>
      </c>
      <c r="AQ66" s="5">
        <v>4</v>
      </c>
      <c r="AR66" s="5">
        <v>7</v>
      </c>
      <c r="AS66" s="5">
        <v>1</v>
      </c>
      <c r="AT66" s="5">
        <v>3</v>
      </c>
      <c r="AU66" s="5"/>
      <c r="AV66" s="8" t="s">
        <v>125</v>
      </c>
      <c r="AW66" s="8" t="s">
        <v>125</v>
      </c>
      <c r="AX66" s="6" t="s">
        <v>125</v>
      </c>
      <c r="AY66" s="15"/>
      <c r="AZ66" s="15"/>
      <c r="BA66" s="15"/>
    </row>
    <row r="67" spans="2:53" ht="11.25" customHeight="1">
      <c r="B67" s="5"/>
      <c r="C67" s="5" t="s">
        <v>281</v>
      </c>
      <c r="D67" s="5" t="s">
        <v>340</v>
      </c>
      <c r="E67" s="5"/>
      <c r="F67" s="5"/>
      <c r="G67" s="5"/>
      <c r="H67" s="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>
        <v>0</v>
      </c>
      <c r="AP67" s="5">
        <v>0</v>
      </c>
      <c r="AQ67" s="5">
        <v>2</v>
      </c>
      <c r="AR67" s="5">
        <v>1</v>
      </c>
      <c r="AS67" s="5">
        <v>2</v>
      </c>
      <c r="AT67" s="5">
        <v>1</v>
      </c>
      <c r="AU67" s="5"/>
      <c r="AV67" s="8" t="s">
        <v>125</v>
      </c>
      <c r="AW67" s="8" t="s">
        <v>125</v>
      </c>
      <c r="AX67" s="6" t="s">
        <v>125</v>
      </c>
      <c r="AY67" s="15"/>
      <c r="AZ67" s="15"/>
      <c r="BA67" s="15"/>
    </row>
    <row r="68" spans="2:53" ht="11.2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0"/>
      <c r="AW68" s="10"/>
      <c r="AX68" s="10"/>
      <c r="AY68" s="15"/>
      <c r="AZ68" s="15"/>
      <c r="BA68" s="15"/>
    </row>
    <row r="69" spans="2:53" ht="11.25" customHeight="1">
      <c r="B69" s="5" t="s">
        <v>269</v>
      </c>
      <c r="C69" s="5" t="s">
        <v>270</v>
      </c>
      <c r="D69" s="5" t="s">
        <v>56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/>
      <c r="AV69" s="8">
        <f>IF(SUM(AR69:AT69)&gt;=0,AVERAGE(AR69:AT69),"")</f>
        <v>0</v>
      </c>
      <c r="AW69" s="6" t="s">
        <v>125</v>
      </c>
      <c r="AX69" s="6" t="s">
        <v>125</v>
      </c>
      <c r="AY69" s="15"/>
      <c r="AZ69" s="15"/>
      <c r="BA69" s="15"/>
    </row>
    <row r="70" spans="2:53" ht="11.2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0"/>
      <c r="AW70" s="10"/>
      <c r="AX70" s="10"/>
      <c r="AY70" s="15"/>
      <c r="AZ70" s="15"/>
      <c r="BA70" s="15"/>
    </row>
    <row r="71" spans="2:53" ht="11.25" customHeight="1">
      <c r="B71" s="5" t="s">
        <v>101</v>
      </c>
      <c r="C71" s="5" t="s">
        <v>259</v>
      </c>
      <c r="D71" s="5" t="s">
        <v>321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5">
        <v>0</v>
      </c>
      <c r="AO71" s="5">
        <v>2</v>
      </c>
      <c r="AP71" s="5">
        <v>0</v>
      </c>
      <c r="AQ71" s="5">
        <v>2</v>
      </c>
      <c r="AR71" s="5">
        <v>1</v>
      </c>
      <c r="AS71" s="5">
        <v>2</v>
      </c>
      <c r="AT71" s="5">
        <v>1</v>
      </c>
      <c r="AU71" s="46"/>
      <c r="AV71" s="8">
        <f t="shared" ref="AV71:AV72" si="31">IF(SUM(AR71:AT71)&gt;=0,AVERAGE(AR71:AT71),"")</f>
        <v>1.3333333333333333</v>
      </c>
      <c r="AW71" s="8">
        <f t="shared" ref="AW71:AW72" si="32">IF(SUM(AP71:AT71)&gt;=0,AVERAGE(AP71:AT71),"")</f>
        <v>1.2</v>
      </c>
      <c r="AX71" s="6" t="s">
        <v>125</v>
      </c>
      <c r="AY71" s="15"/>
      <c r="AZ71" s="15"/>
      <c r="BA71" s="15"/>
    </row>
    <row r="72" spans="2:53" ht="11.25" customHeight="1">
      <c r="B72" s="15"/>
      <c r="C72" s="5" t="s">
        <v>22</v>
      </c>
      <c r="D72" s="5" t="s">
        <v>177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2</v>
      </c>
      <c r="AH72" s="5">
        <v>2</v>
      </c>
      <c r="AI72" s="5">
        <v>0</v>
      </c>
      <c r="AJ72" s="5">
        <v>0</v>
      </c>
      <c r="AK72" s="5">
        <v>1</v>
      </c>
      <c r="AL72" s="5">
        <v>0</v>
      </c>
      <c r="AM72" s="5">
        <v>3</v>
      </c>
      <c r="AN72" s="5">
        <v>1</v>
      </c>
      <c r="AO72" s="5">
        <v>2</v>
      </c>
      <c r="AP72" s="5">
        <v>1</v>
      </c>
      <c r="AQ72" s="16">
        <v>0</v>
      </c>
      <c r="AR72" s="5">
        <v>2</v>
      </c>
      <c r="AS72" s="5">
        <v>1</v>
      </c>
      <c r="AT72" s="5">
        <v>1</v>
      </c>
      <c r="AU72" s="5"/>
      <c r="AV72" s="8">
        <f t="shared" si="31"/>
        <v>1.3333333333333333</v>
      </c>
      <c r="AW72" s="8">
        <f t="shared" si="32"/>
        <v>1</v>
      </c>
      <c r="AX72" s="8">
        <f t="shared" ref="AX72" si="33">IF(SUM(AK72:AT72)&gt;=0,AVERAGE(AK72:AT72),"")</f>
        <v>1.2</v>
      </c>
      <c r="AY72" s="8"/>
      <c r="AZ72" s="47">
        <f t="shared" ref="AZ72" si="34">(AT72-AX72)/AX72</f>
        <v>-0.16666666666666663</v>
      </c>
      <c r="BA72" s="15"/>
    </row>
    <row r="73" spans="2:53" ht="11.25" customHeight="1">
      <c r="B73" s="15"/>
      <c r="C73" s="5" t="s">
        <v>332</v>
      </c>
      <c r="D73" s="5" t="s">
        <v>336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6"/>
      <c r="AR73" s="5"/>
      <c r="AS73" s="5"/>
      <c r="AT73" s="5">
        <v>1</v>
      </c>
      <c r="AU73" s="5"/>
      <c r="AV73" s="6" t="s">
        <v>125</v>
      </c>
      <c r="AW73" s="6" t="s">
        <v>125</v>
      </c>
      <c r="AX73" s="6" t="s">
        <v>125</v>
      </c>
      <c r="AY73" s="15"/>
      <c r="AZ73" s="15"/>
      <c r="BA73" s="15"/>
    </row>
    <row r="74" spans="2:53" ht="11.25" customHeight="1">
      <c r="B74" s="15"/>
      <c r="C74" s="5" t="s">
        <v>14</v>
      </c>
      <c r="D74" s="5" t="s">
        <v>7</v>
      </c>
      <c r="E74" s="5"/>
      <c r="F74" s="5"/>
      <c r="G74" s="5"/>
      <c r="H74" s="5"/>
      <c r="I74" s="5">
        <v>0</v>
      </c>
      <c r="J74" s="5">
        <v>9</v>
      </c>
      <c r="K74" s="5">
        <v>22</v>
      </c>
      <c r="L74" s="5">
        <v>21</v>
      </c>
      <c r="M74" s="5">
        <v>22</v>
      </c>
      <c r="N74" s="5">
        <v>35</v>
      </c>
      <c r="O74" s="5">
        <v>40</v>
      </c>
      <c r="P74" s="5">
        <v>28</v>
      </c>
      <c r="Q74" s="5">
        <v>37</v>
      </c>
      <c r="R74" s="5">
        <v>34</v>
      </c>
      <c r="S74" s="5">
        <v>19</v>
      </c>
      <c r="T74" s="5">
        <v>23</v>
      </c>
      <c r="U74" s="5">
        <v>30</v>
      </c>
      <c r="V74" s="5">
        <v>20</v>
      </c>
      <c r="W74" s="5">
        <v>27</v>
      </c>
      <c r="X74" s="5">
        <v>24</v>
      </c>
      <c r="Y74" s="5">
        <v>24</v>
      </c>
      <c r="Z74" s="5">
        <v>19</v>
      </c>
      <c r="AA74" s="5">
        <v>29</v>
      </c>
      <c r="AB74" s="5">
        <v>35</v>
      </c>
      <c r="AC74" s="5">
        <v>40</v>
      </c>
      <c r="AD74" s="5">
        <v>55</v>
      </c>
      <c r="AE74" s="5">
        <f>50+1</f>
        <v>51</v>
      </c>
      <c r="AF74" s="5">
        <v>47</v>
      </c>
      <c r="AG74" s="5">
        <v>34</v>
      </c>
      <c r="AH74" s="5">
        <v>24</v>
      </c>
      <c r="AI74" s="5">
        <v>24</v>
      </c>
      <c r="AJ74" s="5">
        <v>20</v>
      </c>
      <c r="AK74" s="5">
        <v>16</v>
      </c>
      <c r="AL74" s="5">
        <v>15</v>
      </c>
      <c r="AM74" s="5">
        <v>15</v>
      </c>
      <c r="AN74" s="5">
        <v>21</v>
      </c>
      <c r="AO74" s="5">
        <v>22</v>
      </c>
      <c r="AP74" s="5">
        <v>33</v>
      </c>
      <c r="AQ74" s="5">
        <v>35</v>
      </c>
      <c r="AR74" s="5">
        <v>60</v>
      </c>
      <c r="AS74" s="5">
        <v>66</v>
      </c>
      <c r="AT74" s="5">
        <v>70</v>
      </c>
      <c r="AU74" s="5"/>
      <c r="AV74" s="8">
        <f t="shared" ref="AV74:AV78" si="35">IF(SUM(AR74:AT74)&gt;=0,AVERAGE(AR74:AT74),"")</f>
        <v>65.333333333333329</v>
      </c>
      <c r="AW74" s="8">
        <f t="shared" ref="AW74:AW75" si="36">IF(SUM(AP74:AT74)&gt;=0,AVERAGE(AP74:AT74),"")</f>
        <v>52.8</v>
      </c>
      <c r="AX74" s="8">
        <f t="shared" ref="AX74:AX75" si="37">IF(SUM(AK74:AT74)&gt;=0,AVERAGE(AK74:AT74),"")</f>
        <v>35.299999999999997</v>
      </c>
      <c r="AY74" s="8"/>
      <c r="AZ74" s="47">
        <f t="shared" ref="AZ74:AZ75" si="38">(AT74-AX74)/AX74</f>
        <v>0.98300283286118995</v>
      </c>
      <c r="BA74" s="15"/>
    </row>
    <row r="75" spans="2:53" ht="11.25" customHeight="1">
      <c r="B75" s="5"/>
      <c r="C75" s="5"/>
      <c r="D75" s="5" t="s">
        <v>8</v>
      </c>
      <c r="E75" s="5"/>
      <c r="F75" s="5"/>
      <c r="G75" s="5"/>
      <c r="H75" s="5"/>
      <c r="I75" s="46" t="s">
        <v>124</v>
      </c>
      <c r="J75" s="46" t="s">
        <v>124</v>
      </c>
      <c r="K75" s="46" t="s">
        <v>124</v>
      </c>
      <c r="L75" s="46" t="s">
        <v>124</v>
      </c>
      <c r="M75" s="46" t="s">
        <v>124</v>
      </c>
      <c r="N75" s="46" t="s">
        <v>124</v>
      </c>
      <c r="O75" s="46" t="s">
        <v>124</v>
      </c>
      <c r="P75" s="46" t="s">
        <v>124</v>
      </c>
      <c r="Q75" s="46" t="s">
        <v>124</v>
      </c>
      <c r="R75" s="46" t="s">
        <v>124</v>
      </c>
      <c r="S75" s="46" t="s">
        <v>124</v>
      </c>
      <c r="T75" s="46" t="s">
        <v>124</v>
      </c>
      <c r="U75" s="46" t="s">
        <v>124</v>
      </c>
      <c r="V75" s="46" t="s">
        <v>124</v>
      </c>
      <c r="W75" s="46"/>
      <c r="X75" s="46"/>
      <c r="Y75" s="46"/>
      <c r="Z75" s="46"/>
      <c r="AA75" s="46"/>
      <c r="AB75" s="5">
        <v>8</v>
      </c>
      <c r="AC75" s="5">
        <v>22</v>
      </c>
      <c r="AD75" s="5">
        <v>27</v>
      </c>
      <c r="AE75" s="5">
        <v>37</v>
      </c>
      <c r="AF75" s="5">
        <v>20</v>
      </c>
      <c r="AG75" s="5">
        <v>28</v>
      </c>
      <c r="AH75" s="5">
        <v>25</v>
      </c>
      <c r="AI75" s="5">
        <v>17</v>
      </c>
      <c r="AJ75" s="5">
        <v>25</v>
      </c>
      <c r="AK75" s="5">
        <v>18</v>
      </c>
      <c r="AL75" s="5">
        <v>11</v>
      </c>
      <c r="AM75" s="5">
        <v>13</v>
      </c>
      <c r="AN75" s="5">
        <v>10</v>
      </c>
      <c r="AO75" s="5">
        <v>10</v>
      </c>
      <c r="AP75" s="5">
        <v>14</v>
      </c>
      <c r="AQ75" s="5">
        <v>7</v>
      </c>
      <c r="AR75" s="5">
        <v>28</v>
      </c>
      <c r="AS75" s="5">
        <v>28</v>
      </c>
      <c r="AT75" s="5">
        <v>16</v>
      </c>
      <c r="AU75" s="5"/>
      <c r="AV75" s="8">
        <f t="shared" si="35"/>
        <v>24</v>
      </c>
      <c r="AW75" s="8">
        <f t="shared" si="36"/>
        <v>18.600000000000001</v>
      </c>
      <c r="AX75" s="8">
        <f t="shared" si="37"/>
        <v>15.5</v>
      </c>
      <c r="AY75" s="8"/>
      <c r="AZ75" s="47">
        <f t="shared" si="38"/>
        <v>3.2258064516129031E-2</v>
      </c>
      <c r="BA75" s="15"/>
    </row>
    <row r="76" spans="2:53" ht="11.25" customHeight="1">
      <c r="B76" s="5"/>
      <c r="C76" s="5" t="s">
        <v>290</v>
      </c>
      <c r="D76" s="5" t="s">
        <v>309</v>
      </c>
      <c r="E76" s="5"/>
      <c r="F76" s="5"/>
      <c r="G76" s="5"/>
      <c r="H76" s="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>
        <v>0</v>
      </c>
      <c r="AR76" s="5">
        <v>1</v>
      </c>
      <c r="AS76" s="5">
        <v>8</v>
      </c>
      <c r="AT76" s="5">
        <v>7</v>
      </c>
      <c r="AU76" s="5"/>
      <c r="AV76" s="8">
        <f t="shared" si="35"/>
        <v>5.333333333333333</v>
      </c>
      <c r="AW76" s="6" t="s">
        <v>125</v>
      </c>
      <c r="AX76" s="6" t="s">
        <v>125</v>
      </c>
      <c r="AY76" s="15"/>
      <c r="AZ76" s="15"/>
      <c r="BA76" s="15"/>
    </row>
    <row r="77" spans="2:53" ht="11.25" customHeight="1">
      <c r="B77" s="5"/>
      <c r="C77" s="5" t="s">
        <v>21</v>
      </c>
      <c r="D77" s="5" t="s">
        <v>246</v>
      </c>
      <c r="E77" s="5">
        <f>0+11</f>
        <v>11</v>
      </c>
      <c r="F77" s="5">
        <f>4+5</f>
        <v>9</v>
      </c>
      <c r="G77" s="5">
        <f>10+3</f>
        <v>13</v>
      </c>
      <c r="H77" s="5">
        <f>23+4</f>
        <v>27</v>
      </c>
      <c r="I77" s="5">
        <f>10+4</f>
        <v>14</v>
      </c>
      <c r="J77" s="5">
        <f>12+2</f>
        <v>14</v>
      </c>
      <c r="K77" s="5">
        <f>13+1</f>
        <v>14</v>
      </c>
      <c r="L77" s="5">
        <f>15+7</f>
        <v>22</v>
      </c>
      <c r="M77" s="5">
        <f>9+5</f>
        <v>14</v>
      </c>
      <c r="N77" s="5">
        <f>3+9</f>
        <v>12</v>
      </c>
      <c r="O77" s="5">
        <f>8+7</f>
        <v>15</v>
      </c>
      <c r="P77" s="5">
        <f>6+11</f>
        <v>17</v>
      </c>
      <c r="Q77" s="5">
        <f>7+2</f>
        <v>9</v>
      </c>
      <c r="R77" s="5">
        <f>10+6</f>
        <v>16</v>
      </c>
      <c r="S77" s="5">
        <f>5+6</f>
        <v>11</v>
      </c>
      <c r="T77" s="5">
        <f>5+5</f>
        <v>10</v>
      </c>
      <c r="U77" s="5">
        <f>1+6</f>
        <v>7</v>
      </c>
      <c r="V77" s="5">
        <f>5+7</f>
        <v>12</v>
      </c>
      <c r="W77" s="5">
        <f>2+7</f>
        <v>9</v>
      </c>
      <c r="X77" s="5">
        <f>7+8</f>
        <v>15</v>
      </c>
      <c r="Y77" s="5">
        <f>2+6</f>
        <v>8</v>
      </c>
      <c r="Z77" s="5">
        <f>5+5</f>
        <v>10</v>
      </c>
      <c r="AA77" s="5">
        <f>5+5</f>
        <v>10</v>
      </c>
      <c r="AB77" s="5">
        <f>3+6</f>
        <v>9</v>
      </c>
      <c r="AC77" s="5">
        <f>1+9</f>
        <v>10</v>
      </c>
      <c r="AD77" s="5">
        <f>4+6</f>
        <v>10</v>
      </c>
      <c r="AE77" s="5">
        <v>7</v>
      </c>
      <c r="AF77" s="5">
        <v>17</v>
      </c>
      <c r="AG77" s="5">
        <v>15</v>
      </c>
      <c r="AH77" s="5">
        <v>31</v>
      </c>
      <c r="AI77" s="5">
        <v>13</v>
      </c>
      <c r="AJ77" s="5">
        <v>16</v>
      </c>
      <c r="AK77" s="5">
        <v>16</v>
      </c>
      <c r="AL77" s="5">
        <v>25</v>
      </c>
      <c r="AM77" s="5">
        <v>26</v>
      </c>
      <c r="AN77" s="5">
        <v>23</v>
      </c>
      <c r="AO77" s="5">
        <v>22</v>
      </c>
      <c r="AP77" s="5">
        <v>29</v>
      </c>
      <c r="AQ77" s="5">
        <v>21</v>
      </c>
      <c r="AR77" s="5">
        <v>31</v>
      </c>
      <c r="AS77" s="5">
        <v>23</v>
      </c>
      <c r="AT77" s="5">
        <v>29</v>
      </c>
      <c r="AU77" s="5"/>
      <c r="AV77" s="8">
        <f t="shared" si="35"/>
        <v>27.666666666666668</v>
      </c>
      <c r="AW77" s="8">
        <f t="shared" ref="AW77:AW78" si="39">IF(SUM(AP77:AT77)&gt;=0,AVERAGE(AP77:AT77),"")</f>
        <v>26.6</v>
      </c>
      <c r="AX77" s="8">
        <f t="shared" ref="AX77:AX78" si="40">IF(SUM(AK77:AT77)&gt;=0,AVERAGE(AK77:AT77),"")</f>
        <v>24.5</v>
      </c>
      <c r="AY77" s="8"/>
      <c r="AZ77" s="47">
        <f t="shared" ref="AZ77:AZ78" si="41">(AT77-AX77)/AX77</f>
        <v>0.18367346938775511</v>
      </c>
      <c r="BA77" s="15"/>
    </row>
    <row r="78" spans="2:53" ht="11.25" customHeight="1">
      <c r="B78" s="5"/>
      <c r="C78" s="5"/>
      <c r="D78" s="5" t="s">
        <v>12</v>
      </c>
      <c r="E78" s="5">
        <v>3</v>
      </c>
      <c r="F78" s="5">
        <v>2</v>
      </c>
      <c r="G78" s="5">
        <v>2</v>
      </c>
      <c r="H78" s="5">
        <v>1</v>
      </c>
      <c r="I78" s="5">
        <v>0</v>
      </c>
      <c r="J78" s="5">
        <v>1</v>
      </c>
      <c r="K78" s="5">
        <v>2</v>
      </c>
      <c r="L78" s="5">
        <v>1</v>
      </c>
      <c r="M78" s="5">
        <v>0</v>
      </c>
      <c r="N78" s="5">
        <v>3</v>
      </c>
      <c r="O78" s="5">
        <v>0</v>
      </c>
      <c r="P78" s="5">
        <v>3</v>
      </c>
      <c r="Q78" s="5">
        <v>2</v>
      </c>
      <c r="R78" s="5">
        <v>5</v>
      </c>
      <c r="S78" s="5">
        <v>2</v>
      </c>
      <c r="T78" s="5">
        <v>3</v>
      </c>
      <c r="U78" s="5">
        <v>4</v>
      </c>
      <c r="V78" s="5">
        <v>1</v>
      </c>
      <c r="W78" s="5">
        <v>4</v>
      </c>
      <c r="X78" s="5">
        <v>4</v>
      </c>
      <c r="Y78" s="5">
        <v>3</v>
      </c>
      <c r="Z78" s="5">
        <v>3</v>
      </c>
      <c r="AA78" s="5">
        <v>7</v>
      </c>
      <c r="AB78" s="5">
        <v>5</v>
      </c>
      <c r="AC78" s="5">
        <v>6</v>
      </c>
      <c r="AD78" s="5">
        <v>4</v>
      </c>
      <c r="AE78" s="5">
        <v>5</v>
      </c>
      <c r="AF78" s="5">
        <v>5</v>
      </c>
      <c r="AG78" s="5">
        <v>2</v>
      </c>
      <c r="AH78" s="5">
        <v>10</v>
      </c>
      <c r="AI78" s="5">
        <v>6</v>
      </c>
      <c r="AJ78" s="5">
        <v>4</v>
      </c>
      <c r="AK78" s="5">
        <v>5</v>
      </c>
      <c r="AL78" s="5">
        <v>5</v>
      </c>
      <c r="AM78" s="5">
        <v>6</v>
      </c>
      <c r="AN78" s="5">
        <v>7</v>
      </c>
      <c r="AO78" s="5">
        <v>7</v>
      </c>
      <c r="AP78" s="5">
        <v>8</v>
      </c>
      <c r="AQ78" s="5">
        <v>9</v>
      </c>
      <c r="AR78" s="5">
        <v>2</v>
      </c>
      <c r="AS78" s="5">
        <v>8</v>
      </c>
      <c r="AT78" s="5">
        <v>6</v>
      </c>
      <c r="AU78" s="5"/>
      <c r="AV78" s="8">
        <f t="shared" si="35"/>
        <v>5.333333333333333</v>
      </c>
      <c r="AW78" s="8">
        <f t="shared" si="39"/>
        <v>6.6</v>
      </c>
      <c r="AX78" s="8">
        <f t="shared" si="40"/>
        <v>6.3</v>
      </c>
      <c r="AY78" s="8"/>
      <c r="AZ78" s="47">
        <f t="shared" si="41"/>
        <v>-4.7619047619047596E-2</v>
      </c>
      <c r="BA78" s="15"/>
    </row>
    <row r="79" spans="2:53" ht="11.2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0"/>
      <c r="AW79" s="10"/>
      <c r="AX79" s="10"/>
      <c r="AY79" s="15"/>
      <c r="AZ79" s="15"/>
      <c r="BA79" s="15"/>
    </row>
    <row r="80" spans="2:53" ht="11.25" customHeight="1">
      <c r="B80" s="5" t="s">
        <v>66</v>
      </c>
      <c r="C80" s="5" t="s">
        <v>302</v>
      </c>
      <c r="D80" s="5" t="s">
        <v>72</v>
      </c>
      <c r="E80" s="5">
        <v>11</v>
      </c>
      <c r="F80" s="5">
        <v>9</v>
      </c>
      <c r="G80" s="5">
        <v>2</v>
      </c>
      <c r="H80" s="5">
        <v>1</v>
      </c>
      <c r="I80" s="5">
        <v>3</v>
      </c>
      <c r="J80" s="5">
        <v>4</v>
      </c>
      <c r="K80" s="5">
        <v>6</v>
      </c>
      <c r="L80" s="5">
        <v>9</v>
      </c>
      <c r="M80" s="5">
        <v>4</v>
      </c>
      <c r="N80" s="5">
        <v>4</v>
      </c>
      <c r="O80" s="5">
        <v>3</v>
      </c>
      <c r="P80" s="5">
        <v>1</v>
      </c>
      <c r="Q80" s="5">
        <v>6</v>
      </c>
      <c r="R80" s="5">
        <v>2</v>
      </c>
      <c r="S80" s="5">
        <v>2</v>
      </c>
      <c r="T80" s="5">
        <v>4</v>
      </c>
      <c r="U80" s="5">
        <v>3</v>
      </c>
      <c r="V80" s="5">
        <v>1</v>
      </c>
      <c r="W80" s="5">
        <v>3</v>
      </c>
      <c r="X80" s="5">
        <v>2</v>
      </c>
      <c r="Y80" s="5">
        <v>3</v>
      </c>
      <c r="Z80" s="5">
        <v>3</v>
      </c>
      <c r="AA80" s="5">
        <v>7</v>
      </c>
      <c r="AB80" s="5">
        <v>6</v>
      </c>
      <c r="AC80" s="5">
        <v>1</v>
      </c>
      <c r="AD80" s="5">
        <v>8</v>
      </c>
      <c r="AE80" s="5">
        <v>2</v>
      </c>
      <c r="AF80" s="5">
        <v>4</v>
      </c>
      <c r="AG80" s="5">
        <v>7</v>
      </c>
      <c r="AH80" s="5">
        <v>8</v>
      </c>
      <c r="AI80" s="5">
        <v>4</v>
      </c>
      <c r="AJ80" s="5">
        <v>8</v>
      </c>
      <c r="AK80" s="5">
        <v>8</v>
      </c>
      <c r="AL80" s="5">
        <v>12</v>
      </c>
      <c r="AM80" s="5">
        <v>18</v>
      </c>
      <c r="AN80" s="5">
        <v>11</v>
      </c>
      <c r="AO80" s="5">
        <v>10</v>
      </c>
      <c r="AP80" s="5">
        <v>17</v>
      </c>
      <c r="AQ80" s="5">
        <v>18</v>
      </c>
      <c r="AR80" s="46">
        <v>17</v>
      </c>
      <c r="AS80" s="46">
        <v>15</v>
      </c>
      <c r="AT80" s="46">
        <v>20</v>
      </c>
      <c r="AU80" s="46"/>
      <c r="AV80" s="8">
        <f t="shared" ref="AV80:AV82" si="42">IF(SUM(AR80:AT80)&gt;=0,AVERAGE(AR80:AT80),"")</f>
        <v>17.333333333333332</v>
      </c>
      <c r="AW80" s="6" t="s">
        <v>125</v>
      </c>
      <c r="AX80" s="6" t="s">
        <v>125</v>
      </c>
      <c r="AY80" s="15"/>
      <c r="AZ80" s="15"/>
      <c r="BA80" s="15"/>
    </row>
    <row r="81" spans="2:53" ht="11.25" customHeight="1">
      <c r="B81" s="5"/>
      <c r="C81" s="5" t="s">
        <v>303</v>
      </c>
      <c r="D81" s="5" t="s">
        <v>254</v>
      </c>
      <c r="E81" s="5">
        <v>8</v>
      </c>
      <c r="F81" s="5">
        <v>3</v>
      </c>
      <c r="G81" s="5">
        <v>19</v>
      </c>
      <c r="H81" s="5">
        <v>15</v>
      </c>
      <c r="I81" s="5">
        <v>7</v>
      </c>
      <c r="J81" s="5">
        <v>9</v>
      </c>
      <c r="K81" s="5">
        <v>6</v>
      </c>
      <c r="L81" s="5">
        <v>4</v>
      </c>
      <c r="M81" s="5">
        <v>5</v>
      </c>
      <c r="N81" s="5">
        <v>6</v>
      </c>
      <c r="O81" s="5">
        <v>10</v>
      </c>
      <c r="P81" s="5">
        <v>6</v>
      </c>
      <c r="Q81" s="5">
        <v>6</v>
      </c>
      <c r="R81" s="5">
        <v>4</v>
      </c>
      <c r="S81" s="5">
        <v>4</v>
      </c>
      <c r="T81" s="5">
        <v>2</v>
      </c>
      <c r="U81" s="5">
        <v>8</v>
      </c>
      <c r="V81" s="5">
        <v>7</v>
      </c>
      <c r="W81" s="5">
        <v>3</v>
      </c>
      <c r="X81" s="5">
        <v>7</v>
      </c>
      <c r="Y81" s="5">
        <v>7</v>
      </c>
      <c r="Z81" s="5">
        <v>3</v>
      </c>
      <c r="AA81" s="5">
        <v>14</v>
      </c>
      <c r="AB81" s="5">
        <v>10</v>
      </c>
      <c r="AC81" s="5">
        <f>2+1</f>
        <v>3</v>
      </c>
      <c r="AD81" s="5">
        <v>10</v>
      </c>
      <c r="AE81" s="5">
        <v>3</v>
      </c>
      <c r="AF81" s="5">
        <v>9</v>
      </c>
      <c r="AG81" s="5">
        <v>9</v>
      </c>
      <c r="AH81" s="5">
        <v>6</v>
      </c>
      <c r="AI81" s="5">
        <v>9</v>
      </c>
      <c r="AJ81" s="5">
        <v>10</v>
      </c>
      <c r="AK81" s="5">
        <v>1</v>
      </c>
      <c r="AL81" s="5">
        <v>4</v>
      </c>
      <c r="AM81" s="5">
        <v>0</v>
      </c>
      <c r="AN81" s="5">
        <v>1</v>
      </c>
      <c r="AO81" s="5">
        <v>11</v>
      </c>
      <c r="AP81" s="5">
        <v>2</v>
      </c>
      <c r="AQ81" s="5">
        <v>2</v>
      </c>
      <c r="AR81" s="46">
        <v>4</v>
      </c>
      <c r="AS81" s="46">
        <v>0</v>
      </c>
      <c r="AT81" s="46">
        <v>0</v>
      </c>
      <c r="AU81" s="46"/>
      <c r="AV81" s="8">
        <f t="shared" si="42"/>
        <v>1.3333333333333333</v>
      </c>
      <c r="AW81" s="6" t="s">
        <v>125</v>
      </c>
      <c r="AX81" s="6" t="s">
        <v>125</v>
      </c>
      <c r="AY81" s="15"/>
      <c r="AZ81" s="15"/>
      <c r="BA81" s="15"/>
    </row>
    <row r="82" spans="2:53" ht="11.25" customHeight="1">
      <c r="B82" s="5"/>
      <c r="C82" s="5"/>
      <c r="D82" s="5" t="s">
        <v>144</v>
      </c>
      <c r="E82" s="5"/>
      <c r="F82" s="5"/>
      <c r="G82" s="5"/>
      <c r="H82" s="5"/>
      <c r="I82" s="46" t="s">
        <v>124</v>
      </c>
      <c r="J82" s="46" t="s">
        <v>124</v>
      </c>
      <c r="K82" s="46" t="s">
        <v>124</v>
      </c>
      <c r="L82" s="46" t="s">
        <v>124</v>
      </c>
      <c r="M82" s="46" t="s">
        <v>124</v>
      </c>
      <c r="N82" s="46" t="s">
        <v>124</v>
      </c>
      <c r="O82" s="46" t="s">
        <v>124</v>
      </c>
      <c r="P82" s="46" t="s">
        <v>124</v>
      </c>
      <c r="Q82" s="46" t="s">
        <v>124</v>
      </c>
      <c r="R82" s="46" t="s">
        <v>124</v>
      </c>
      <c r="S82" s="46" t="s">
        <v>124</v>
      </c>
      <c r="T82" s="46" t="s">
        <v>124</v>
      </c>
      <c r="U82" s="46" t="s">
        <v>124</v>
      </c>
      <c r="V82" s="46" t="s">
        <v>124</v>
      </c>
      <c r="W82" s="5">
        <v>0</v>
      </c>
      <c r="X82" s="5">
        <v>0</v>
      </c>
      <c r="Y82" s="5">
        <v>6</v>
      </c>
      <c r="Z82" s="5">
        <v>4</v>
      </c>
      <c r="AA82" s="5">
        <v>2</v>
      </c>
      <c r="AB82" s="5">
        <v>8</v>
      </c>
      <c r="AC82" s="5">
        <v>9</v>
      </c>
      <c r="AD82" s="5">
        <v>14</v>
      </c>
      <c r="AE82" s="5">
        <v>5</v>
      </c>
      <c r="AF82" s="5">
        <f>4+3</f>
        <v>7</v>
      </c>
      <c r="AG82" s="5">
        <f>2+3</f>
        <v>5</v>
      </c>
      <c r="AH82" s="5">
        <f>4+6</f>
        <v>10</v>
      </c>
      <c r="AI82" s="5">
        <v>10</v>
      </c>
      <c r="AJ82" s="5">
        <v>6</v>
      </c>
      <c r="AK82" s="5">
        <v>9</v>
      </c>
      <c r="AL82" s="5">
        <v>11</v>
      </c>
      <c r="AM82" s="5">
        <v>11</v>
      </c>
      <c r="AN82" s="5">
        <v>0</v>
      </c>
      <c r="AO82" s="5">
        <v>6</v>
      </c>
      <c r="AP82" s="5">
        <v>5</v>
      </c>
      <c r="AQ82" s="5">
        <v>11</v>
      </c>
      <c r="AR82" s="5">
        <v>3</v>
      </c>
      <c r="AS82" s="5">
        <v>2</v>
      </c>
      <c r="AT82" s="5">
        <v>3</v>
      </c>
      <c r="AU82" s="46"/>
      <c r="AV82" s="8">
        <f t="shared" si="42"/>
        <v>2.6666666666666665</v>
      </c>
      <c r="AW82" s="6" t="s">
        <v>125</v>
      </c>
      <c r="AX82" s="6" t="s">
        <v>125</v>
      </c>
      <c r="AY82" s="15"/>
      <c r="AZ82" s="15"/>
      <c r="BA82" s="15"/>
    </row>
    <row r="83" spans="2:53" ht="11.2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0"/>
      <c r="AW83" s="10"/>
      <c r="AX83" s="8"/>
      <c r="AY83" s="8"/>
      <c r="AZ83" s="47"/>
      <c r="BA83" s="15"/>
    </row>
    <row r="84" spans="2:53" ht="11.25" customHeight="1">
      <c r="B84" s="5" t="s">
        <v>23</v>
      </c>
      <c r="C84" s="5" t="s">
        <v>24</v>
      </c>
      <c r="D84" s="5" t="s">
        <v>56</v>
      </c>
      <c r="E84" s="5">
        <v>6</v>
      </c>
      <c r="F84" s="5">
        <v>7</v>
      </c>
      <c r="G84" s="5">
        <v>9</v>
      </c>
      <c r="H84" s="5">
        <v>3</v>
      </c>
      <c r="I84" s="5">
        <v>5</v>
      </c>
      <c r="J84" s="5">
        <v>4</v>
      </c>
      <c r="K84" s="5">
        <v>3</v>
      </c>
      <c r="L84" s="5">
        <v>6</v>
      </c>
      <c r="M84" s="5">
        <v>2</v>
      </c>
      <c r="N84" s="5">
        <v>1</v>
      </c>
      <c r="O84" s="5">
        <v>3</v>
      </c>
      <c r="P84" s="5">
        <v>4</v>
      </c>
      <c r="Q84" s="5">
        <v>5</v>
      </c>
      <c r="R84" s="5">
        <v>4</v>
      </c>
      <c r="S84" s="5">
        <v>8</v>
      </c>
      <c r="T84" s="5">
        <v>3</v>
      </c>
      <c r="U84" s="5">
        <v>6</v>
      </c>
      <c r="V84" s="5">
        <v>2</v>
      </c>
      <c r="W84" s="5">
        <v>9</v>
      </c>
      <c r="X84" s="5">
        <v>7</v>
      </c>
      <c r="Y84" s="5">
        <v>8</v>
      </c>
      <c r="Z84" s="5">
        <v>5</v>
      </c>
      <c r="AA84" s="5">
        <v>8</v>
      </c>
      <c r="AB84" s="5">
        <v>7</v>
      </c>
      <c r="AC84" s="5">
        <v>5</v>
      </c>
      <c r="AD84" s="5">
        <v>11</v>
      </c>
      <c r="AE84" s="5">
        <v>9</v>
      </c>
      <c r="AF84" s="5">
        <v>6</v>
      </c>
      <c r="AG84" s="5">
        <v>12</v>
      </c>
      <c r="AH84" s="5">
        <v>6</v>
      </c>
      <c r="AI84" s="5">
        <v>8</v>
      </c>
      <c r="AJ84" s="5">
        <v>8</v>
      </c>
      <c r="AK84" s="5">
        <v>10</v>
      </c>
      <c r="AL84" s="5">
        <v>12</v>
      </c>
      <c r="AM84" s="5">
        <v>11</v>
      </c>
      <c r="AN84" s="5">
        <v>6</v>
      </c>
      <c r="AO84" s="5">
        <v>6</v>
      </c>
      <c r="AP84" s="5">
        <v>13</v>
      </c>
      <c r="AQ84" s="5">
        <v>10</v>
      </c>
      <c r="AR84" s="5">
        <v>8</v>
      </c>
      <c r="AS84" s="5">
        <v>9</v>
      </c>
      <c r="AT84" s="5">
        <v>6</v>
      </c>
      <c r="AU84" s="5"/>
      <c r="AV84" s="8">
        <f t="shared" ref="AV84:AV85" si="43">IF(SUM(AR84:AT84)&gt;=0,AVERAGE(AR84:AT84),"")</f>
        <v>7.666666666666667</v>
      </c>
      <c r="AW84" s="8">
        <f t="shared" ref="AW84:AW85" si="44">IF(SUM(AP84:AT84)&gt;=0,AVERAGE(AP84:AT84),"")</f>
        <v>9.1999999999999993</v>
      </c>
      <c r="AX84" s="8">
        <f t="shared" ref="AX84:AX85" si="45">IF(SUM(AK84:AT84)&gt;=0,AVERAGE(AK84:AT84),"")</f>
        <v>9.1</v>
      </c>
      <c r="AY84" s="8"/>
      <c r="AZ84" s="47">
        <f t="shared" ref="AZ84:AZ85" si="46">(AT84-AX84)/AX84</f>
        <v>-0.34065934065934061</v>
      </c>
      <c r="BA84" s="15"/>
    </row>
    <row r="85" spans="2:53" ht="11.25" customHeight="1">
      <c r="B85" s="5"/>
      <c r="C85" s="5"/>
      <c r="D85" s="5" t="s">
        <v>157</v>
      </c>
      <c r="E85" s="5"/>
      <c r="F85" s="5"/>
      <c r="G85" s="5"/>
      <c r="H85" s="5"/>
      <c r="I85" s="5"/>
      <c r="J85" s="46" t="s">
        <v>124</v>
      </c>
      <c r="K85" s="46" t="s">
        <v>124</v>
      </c>
      <c r="L85" s="46" t="s">
        <v>124</v>
      </c>
      <c r="M85" s="46" t="s">
        <v>124</v>
      </c>
      <c r="N85" s="46" t="s">
        <v>124</v>
      </c>
      <c r="O85" s="46" t="s">
        <v>124</v>
      </c>
      <c r="P85" s="46" t="s">
        <v>124</v>
      </c>
      <c r="Q85" s="46" t="s">
        <v>124</v>
      </c>
      <c r="R85" s="46" t="s">
        <v>124</v>
      </c>
      <c r="S85" s="46" t="s">
        <v>124</v>
      </c>
      <c r="T85" s="46" t="s">
        <v>124</v>
      </c>
      <c r="U85" s="46" t="s">
        <v>124</v>
      </c>
      <c r="V85" s="46" t="s">
        <v>124</v>
      </c>
      <c r="W85" s="46"/>
      <c r="X85" s="46"/>
      <c r="Y85" s="46"/>
      <c r="Z85" s="46"/>
      <c r="AA85" s="46"/>
      <c r="AB85" s="5">
        <v>0</v>
      </c>
      <c r="AC85" s="5">
        <v>0</v>
      </c>
      <c r="AD85" s="5">
        <v>2</v>
      </c>
      <c r="AE85" s="5">
        <v>4</v>
      </c>
      <c r="AF85" s="5">
        <v>2</v>
      </c>
      <c r="AG85" s="5">
        <v>6</v>
      </c>
      <c r="AH85" s="5">
        <v>7</v>
      </c>
      <c r="AI85" s="5">
        <v>8</v>
      </c>
      <c r="AJ85" s="5">
        <v>10</v>
      </c>
      <c r="AK85" s="5">
        <v>16</v>
      </c>
      <c r="AL85" s="5">
        <v>12</v>
      </c>
      <c r="AM85" s="5">
        <v>9</v>
      </c>
      <c r="AN85" s="5">
        <v>16</v>
      </c>
      <c r="AO85" s="5">
        <v>10</v>
      </c>
      <c r="AP85" s="5">
        <v>5</v>
      </c>
      <c r="AQ85" s="5">
        <v>9</v>
      </c>
      <c r="AR85" s="5">
        <v>6</v>
      </c>
      <c r="AS85" s="5">
        <v>8</v>
      </c>
      <c r="AT85" s="5">
        <v>4</v>
      </c>
      <c r="AU85" s="5"/>
      <c r="AV85" s="8">
        <f t="shared" si="43"/>
        <v>6</v>
      </c>
      <c r="AW85" s="8">
        <f t="shared" si="44"/>
        <v>6.4</v>
      </c>
      <c r="AX85" s="8">
        <f t="shared" si="45"/>
        <v>9.5</v>
      </c>
      <c r="AY85" s="8"/>
      <c r="AZ85" s="47">
        <f t="shared" si="46"/>
        <v>-0.57894736842105265</v>
      </c>
      <c r="BA85" s="15"/>
    </row>
    <row r="86" spans="2:53" ht="11.2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6"/>
      <c r="AW86" s="6"/>
      <c r="AX86" s="6"/>
      <c r="AY86" s="15"/>
      <c r="AZ86" s="15"/>
      <c r="BA86" s="15"/>
    </row>
    <row r="87" spans="2:53" ht="11.25" customHeight="1">
      <c r="B87" s="5" t="s">
        <v>26</v>
      </c>
      <c r="C87" s="5" t="s">
        <v>330</v>
      </c>
      <c r="D87" s="5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>
        <v>4</v>
      </c>
      <c r="AU87" s="46"/>
      <c r="AV87" s="6" t="s">
        <v>125</v>
      </c>
      <c r="AW87" s="6" t="s">
        <v>125</v>
      </c>
      <c r="AX87" s="6" t="s">
        <v>125</v>
      </c>
      <c r="AY87" s="15"/>
      <c r="AZ87" s="15"/>
      <c r="BA87" s="15"/>
    </row>
    <row r="88" spans="2:53" ht="11.25" customHeight="1">
      <c r="B88" s="5"/>
      <c r="C88" s="5" t="s">
        <v>27</v>
      </c>
      <c r="D88" s="5" t="s">
        <v>56</v>
      </c>
      <c r="E88" s="5">
        <v>48</v>
      </c>
      <c r="F88" s="5">
        <v>55</v>
      </c>
      <c r="G88" s="5">
        <v>36</v>
      </c>
      <c r="H88" s="5">
        <v>30</v>
      </c>
      <c r="I88" s="5">
        <v>41</v>
      </c>
      <c r="J88" s="5">
        <v>28</v>
      </c>
      <c r="K88" s="5">
        <v>24</v>
      </c>
      <c r="L88" s="5">
        <v>20</v>
      </c>
      <c r="M88" s="5">
        <v>27</v>
      </c>
      <c r="N88" s="5">
        <v>19</v>
      </c>
      <c r="O88" s="5">
        <v>22</v>
      </c>
      <c r="P88" s="5">
        <v>29</v>
      </c>
      <c r="Q88" s="5">
        <v>27</v>
      </c>
      <c r="R88" s="5">
        <v>27</v>
      </c>
      <c r="S88" s="5">
        <v>32</v>
      </c>
      <c r="T88" s="5">
        <v>28</v>
      </c>
      <c r="U88" s="5">
        <v>34</v>
      </c>
      <c r="V88" s="5">
        <v>40</v>
      </c>
      <c r="W88" s="5">
        <v>27</v>
      </c>
      <c r="X88" s="5">
        <v>29</v>
      </c>
      <c r="Y88" s="5">
        <v>26</v>
      </c>
      <c r="Z88" s="5">
        <f>32+1</f>
        <v>33</v>
      </c>
      <c r="AA88" s="5">
        <v>19</v>
      </c>
      <c r="AB88" s="5">
        <v>13</v>
      </c>
      <c r="AC88" s="5">
        <v>20</v>
      </c>
      <c r="AD88" s="5">
        <v>27</v>
      </c>
      <c r="AE88" s="5">
        <v>25</v>
      </c>
      <c r="AF88" s="5">
        <v>23</v>
      </c>
      <c r="AG88" s="5">
        <v>22</v>
      </c>
      <c r="AH88" s="5">
        <v>38</v>
      </c>
      <c r="AI88" s="5">
        <v>35</v>
      </c>
      <c r="AJ88" s="5">
        <v>33</v>
      </c>
      <c r="AK88" s="5">
        <v>38</v>
      </c>
      <c r="AL88" s="5">
        <v>34</v>
      </c>
      <c r="AM88" s="5">
        <v>31</v>
      </c>
      <c r="AN88" s="5">
        <v>38</v>
      </c>
      <c r="AO88" s="5">
        <v>22</v>
      </c>
      <c r="AP88" s="5">
        <v>22</v>
      </c>
      <c r="AQ88" s="5">
        <v>23</v>
      </c>
      <c r="AR88" s="5">
        <v>19</v>
      </c>
      <c r="AS88" s="5">
        <v>18</v>
      </c>
      <c r="AT88" s="5">
        <v>22</v>
      </c>
      <c r="AU88" s="5"/>
      <c r="AV88" s="8">
        <f t="shared" ref="AV88:AV91" si="47">IF(SUM(AR88:AT88)&gt;=0,AVERAGE(AR88:AT88),"")</f>
        <v>19.666666666666668</v>
      </c>
      <c r="AW88" s="8">
        <f t="shared" ref="AW88:AW91" si="48">IF(SUM(AP88:AT88)&gt;=0,AVERAGE(AP88:AT88),"")</f>
        <v>20.8</v>
      </c>
      <c r="AX88" s="8">
        <f>IF(SUM(AK88:AT88)&gt;=0,AVERAGE(AK88:AT88),"")</f>
        <v>26.7</v>
      </c>
      <c r="AY88" s="8"/>
      <c r="AZ88" s="47">
        <f t="shared" ref="AZ88:AZ91" si="49">(AT88-AX88)/AX88</f>
        <v>-0.17602996254681647</v>
      </c>
      <c r="BA88" s="15"/>
    </row>
    <row r="89" spans="2:53" ht="11.25" customHeight="1">
      <c r="B89" s="5"/>
      <c r="C89" s="5"/>
      <c r="D89" s="5" t="s">
        <v>12</v>
      </c>
      <c r="E89" s="5">
        <v>6</v>
      </c>
      <c r="F89" s="5">
        <v>8</v>
      </c>
      <c r="G89" s="5">
        <v>16</v>
      </c>
      <c r="H89" s="5">
        <v>3</v>
      </c>
      <c r="I89" s="5">
        <v>10</v>
      </c>
      <c r="J89" s="5">
        <v>6</v>
      </c>
      <c r="K89" s="5">
        <v>3</v>
      </c>
      <c r="L89" s="5">
        <v>4</v>
      </c>
      <c r="M89" s="5">
        <v>2</v>
      </c>
      <c r="N89" s="5">
        <v>7</v>
      </c>
      <c r="O89" s="5">
        <v>0</v>
      </c>
      <c r="P89" s="5">
        <v>6</v>
      </c>
      <c r="Q89" s="5">
        <v>3</v>
      </c>
      <c r="R89" s="5">
        <v>4</v>
      </c>
      <c r="S89" s="5">
        <v>8</v>
      </c>
      <c r="T89" s="5">
        <v>4</v>
      </c>
      <c r="U89" s="5">
        <v>6</v>
      </c>
      <c r="V89" s="5">
        <v>10</v>
      </c>
      <c r="W89" s="5">
        <v>8</v>
      </c>
      <c r="X89" s="5">
        <v>9</v>
      </c>
      <c r="Y89" s="5">
        <v>6</v>
      </c>
      <c r="Z89" s="5">
        <v>7</v>
      </c>
      <c r="AA89" s="5">
        <v>3</v>
      </c>
      <c r="AB89" s="5">
        <v>4</v>
      </c>
      <c r="AC89" s="5">
        <v>7</v>
      </c>
      <c r="AD89" s="5">
        <v>2</v>
      </c>
      <c r="AE89" s="5">
        <v>9</v>
      </c>
      <c r="AF89" s="5">
        <v>6</v>
      </c>
      <c r="AG89" s="5">
        <v>5</v>
      </c>
      <c r="AH89" s="5">
        <v>2</v>
      </c>
      <c r="AI89" s="5">
        <v>14</v>
      </c>
      <c r="AJ89" s="5">
        <v>3</v>
      </c>
      <c r="AK89" s="5">
        <v>6</v>
      </c>
      <c r="AL89" s="5">
        <v>2</v>
      </c>
      <c r="AM89" s="5">
        <v>8</v>
      </c>
      <c r="AN89" s="5">
        <v>8</v>
      </c>
      <c r="AO89" s="5">
        <v>6</v>
      </c>
      <c r="AP89" s="5">
        <v>9</v>
      </c>
      <c r="AQ89" s="5">
        <v>7</v>
      </c>
      <c r="AR89" s="5">
        <v>7</v>
      </c>
      <c r="AS89" s="5">
        <v>10</v>
      </c>
      <c r="AT89" s="5">
        <v>10</v>
      </c>
      <c r="AU89" s="5"/>
      <c r="AV89" s="8">
        <f t="shared" si="47"/>
        <v>9</v>
      </c>
      <c r="AW89" s="8">
        <f t="shared" si="48"/>
        <v>8.6</v>
      </c>
      <c r="AX89" s="8">
        <f t="shared" ref="AX89:AX91" si="50">IF(SUM(AK89:AT89)&gt;=0,AVERAGE(AK89:AT89),"")</f>
        <v>7.3</v>
      </c>
      <c r="AY89" s="8"/>
      <c r="AZ89" s="47">
        <f t="shared" si="49"/>
        <v>0.36986301369863017</v>
      </c>
      <c r="BA89" s="15"/>
    </row>
    <row r="90" spans="2:53" ht="11.25" customHeight="1">
      <c r="B90" s="5"/>
      <c r="C90" s="5"/>
      <c r="D90" s="5" t="s">
        <v>112</v>
      </c>
      <c r="E90" s="5"/>
      <c r="F90" s="5"/>
      <c r="G90" s="5"/>
      <c r="H90" s="5"/>
      <c r="I90" s="46" t="s">
        <v>124</v>
      </c>
      <c r="J90" s="46" t="s">
        <v>124</v>
      </c>
      <c r="K90" s="46" t="s">
        <v>124</v>
      </c>
      <c r="L90" s="46" t="s">
        <v>124</v>
      </c>
      <c r="M90" s="46" t="s">
        <v>124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2</v>
      </c>
      <c r="W90" s="5">
        <v>3</v>
      </c>
      <c r="X90" s="5">
        <v>3</v>
      </c>
      <c r="Y90" s="5">
        <v>4</v>
      </c>
      <c r="Z90" s="5">
        <v>7</v>
      </c>
      <c r="AA90" s="5">
        <v>4</v>
      </c>
      <c r="AB90" s="5">
        <v>3</v>
      </c>
      <c r="AC90" s="5">
        <v>2</v>
      </c>
      <c r="AD90" s="5">
        <v>3</v>
      </c>
      <c r="AE90" s="5">
        <v>1</v>
      </c>
      <c r="AF90" s="5">
        <v>3</v>
      </c>
      <c r="AG90" s="5">
        <v>5</v>
      </c>
      <c r="AH90" s="5">
        <v>2</v>
      </c>
      <c r="AI90" s="5">
        <v>2</v>
      </c>
      <c r="AJ90" s="5">
        <v>3</v>
      </c>
      <c r="AK90" s="5">
        <v>5</v>
      </c>
      <c r="AL90" s="5">
        <v>2</v>
      </c>
      <c r="AM90" s="5">
        <v>5</v>
      </c>
      <c r="AN90" s="5">
        <v>3</v>
      </c>
      <c r="AO90" s="5">
        <v>3</v>
      </c>
      <c r="AP90" s="5">
        <v>6</v>
      </c>
      <c r="AQ90" s="5">
        <v>5</v>
      </c>
      <c r="AR90" s="5">
        <v>4</v>
      </c>
      <c r="AS90" s="5">
        <v>3</v>
      </c>
      <c r="AT90" s="5">
        <v>3</v>
      </c>
      <c r="AU90" s="5"/>
      <c r="AV90" s="8">
        <f t="shared" si="47"/>
        <v>3.3333333333333335</v>
      </c>
      <c r="AW90" s="8">
        <f t="shared" si="48"/>
        <v>4.2</v>
      </c>
      <c r="AX90" s="8">
        <f t="shared" si="50"/>
        <v>3.9</v>
      </c>
      <c r="AY90" s="8"/>
      <c r="AZ90" s="47">
        <f t="shared" si="49"/>
        <v>-0.23076923076923075</v>
      </c>
      <c r="BA90" s="15"/>
    </row>
    <row r="91" spans="2:53" ht="11.25" customHeight="1">
      <c r="B91" s="5"/>
      <c r="C91" s="5" t="s">
        <v>93</v>
      </c>
      <c r="D91" s="5" t="s">
        <v>88</v>
      </c>
      <c r="E91" s="5"/>
      <c r="F91" s="5"/>
      <c r="G91" s="5"/>
      <c r="H91" s="5"/>
      <c r="I91" s="5">
        <v>1</v>
      </c>
      <c r="J91" s="5">
        <v>3</v>
      </c>
      <c r="K91" s="5">
        <v>4</v>
      </c>
      <c r="L91" s="5">
        <v>9</v>
      </c>
      <c r="M91" s="5">
        <v>9</v>
      </c>
      <c r="N91" s="5">
        <v>5</v>
      </c>
      <c r="O91" s="5">
        <v>6</v>
      </c>
      <c r="P91" s="5">
        <v>9</v>
      </c>
      <c r="Q91" s="5">
        <v>12</v>
      </c>
      <c r="R91" s="5">
        <v>14</v>
      </c>
      <c r="S91" s="5">
        <v>11</v>
      </c>
      <c r="T91" s="5">
        <v>13</v>
      </c>
      <c r="U91" s="5">
        <v>4</v>
      </c>
      <c r="V91" s="5">
        <v>5</v>
      </c>
      <c r="W91" s="5">
        <v>5</v>
      </c>
      <c r="X91" s="5">
        <v>3</v>
      </c>
      <c r="Y91" s="5">
        <v>5</v>
      </c>
      <c r="Z91" s="5">
        <v>7</v>
      </c>
      <c r="AA91" s="5">
        <f>1+6</f>
        <v>7</v>
      </c>
      <c r="AB91" s="5">
        <f>2+6</f>
        <v>8</v>
      </c>
      <c r="AC91" s="5">
        <v>9</v>
      </c>
      <c r="AD91" s="5">
        <v>7</v>
      </c>
      <c r="AE91" s="5">
        <v>3</v>
      </c>
      <c r="AF91" s="5">
        <v>10</v>
      </c>
      <c r="AG91" s="5">
        <v>3</v>
      </c>
      <c r="AH91" s="5">
        <v>7</v>
      </c>
      <c r="AI91" s="5">
        <v>10</v>
      </c>
      <c r="AJ91" s="5">
        <v>15</v>
      </c>
      <c r="AK91" s="5">
        <v>12</v>
      </c>
      <c r="AL91" s="5">
        <v>9</v>
      </c>
      <c r="AM91" s="5">
        <v>8</v>
      </c>
      <c r="AN91" s="5">
        <v>10</v>
      </c>
      <c r="AO91" s="5">
        <v>5</v>
      </c>
      <c r="AP91" s="5">
        <v>8</v>
      </c>
      <c r="AQ91" s="5">
        <v>8</v>
      </c>
      <c r="AR91" s="5">
        <v>4</v>
      </c>
      <c r="AS91" s="5">
        <v>7</v>
      </c>
      <c r="AT91" s="5">
        <v>6</v>
      </c>
      <c r="AU91" s="5"/>
      <c r="AV91" s="8">
        <f t="shared" si="47"/>
        <v>5.666666666666667</v>
      </c>
      <c r="AW91" s="8">
        <f t="shared" si="48"/>
        <v>6.6</v>
      </c>
      <c r="AX91" s="8">
        <f t="shared" si="50"/>
        <v>7.7</v>
      </c>
      <c r="AY91" s="8"/>
      <c r="AZ91" s="47">
        <f t="shared" si="49"/>
        <v>-0.2207792207792208</v>
      </c>
      <c r="BA91" s="15"/>
    </row>
    <row r="92" spans="2:53" ht="11.2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0"/>
      <c r="AW92" s="10"/>
      <c r="AX92" s="10"/>
      <c r="AY92" s="15"/>
      <c r="AZ92" s="15"/>
      <c r="BA92" s="15"/>
    </row>
    <row r="93" spans="2:53" ht="11.25" customHeight="1">
      <c r="B93" s="5" t="s">
        <v>73</v>
      </c>
      <c r="C93" s="5" t="s">
        <v>25</v>
      </c>
      <c r="D93" s="5" t="s">
        <v>57</v>
      </c>
      <c r="E93" s="5">
        <v>12</v>
      </c>
      <c r="F93" s="5">
        <v>11</v>
      </c>
      <c r="G93" s="5">
        <v>3</v>
      </c>
      <c r="H93" s="5">
        <v>9</v>
      </c>
      <c r="I93" s="5">
        <v>1</v>
      </c>
      <c r="J93" s="5">
        <v>6</v>
      </c>
      <c r="K93" s="5">
        <v>5</v>
      </c>
      <c r="L93" s="5">
        <v>8</v>
      </c>
      <c r="M93" s="5">
        <v>7</v>
      </c>
      <c r="N93" s="5">
        <v>6</v>
      </c>
      <c r="O93" s="5">
        <v>8</v>
      </c>
      <c r="P93" s="5">
        <v>5</v>
      </c>
      <c r="Q93" s="5">
        <v>6</v>
      </c>
      <c r="R93" s="5">
        <v>4</v>
      </c>
      <c r="S93" s="5">
        <f>3+3+2+4</f>
        <v>12</v>
      </c>
      <c r="T93" s="5">
        <v>6</v>
      </c>
      <c r="U93" s="5">
        <v>9</v>
      </c>
      <c r="V93" s="5">
        <v>2</v>
      </c>
      <c r="W93" s="5">
        <v>6</v>
      </c>
      <c r="X93" s="5">
        <f>1+2+1</f>
        <v>4</v>
      </c>
      <c r="Y93" s="5">
        <f>1+1+1</f>
        <v>3</v>
      </c>
      <c r="Z93" s="5">
        <f>1+2+1</f>
        <v>4</v>
      </c>
      <c r="AA93" s="5">
        <v>7</v>
      </c>
      <c r="AB93" s="5">
        <v>7</v>
      </c>
      <c r="AC93" s="5">
        <v>11</v>
      </c>
      <c r="AD93" s="5">
        <v>5</v>
      </c>
      <c r="AE93" s="5">
        <v>11</v>
      </c>
      <c r="AF93" s="5">
        <v>2</v>
      </c>
      <c r="AG93" s="5">
        <v>9</v>
      </c>
      <c r="AH93" s="5">
        <v>4</v>
      </c>
      <c r="AI93" s="5">
        <v>7</v>
      </c>
      <c r="AJ93" s="5">
        <v>8</v>
      </c>
      <c r="AK93" s="5">
        <v>2</v>
      </c>
      <c r="AL93" s="5">
        <v>5</v>
      </c>
      <c r="AM93" s="5">
        <v>8</v>
      </c>
      <c r="AN93" s="5">
        <v>8</v>
      </c>
      <c r="AO93" s="5">
        <v>6</v>
      </c>
      <c r="AP93" s="5">
        <v>9</v>
      </c>
      <c r="AQ93" s="5">
        <v>8</v>
      </c>
      <c r="AR93" s="5">
        <v>6</v>
      </c>
      <c r="AS93" s="5">
        <v>9</v>
      </c>
      <c r="AT93" s="5">
        <v>8</v>
      </c>
      <c r="AU93" s="5"/>
      <c r="AV93" s="8">
        <f t="shared" ref="AV93:AV95" si="51">IF(SUM(AR93:AT93)&gt;=0,AVERAGE(AR93:AT93),"")</f>
        <v>7.666666666666667</v>
      </c>
      <c r="AW93" s="8">
        <f t="shared" ref="AW93:AW95" si="52">IF(SUM(AP93:AT93)&gt;=0,AVERAGE(AP93:AT93),"")</f>
        <v>8</v>
      </c>
      <c r="AX93" s="8">
        <f t="shared" ref="AX93:AX95" si="53">IF(SUM(AK93:AT93)&gt;=0,AVERAGE(AK93:AT93),"")</f>
        <v>6.9</v>
      </c>
      <c r="AY93" s="8"/>
      <c r="AZ93" s="47">
        <f t="shared" ref="AZ93:AZ95" si="54">(AT93-AX93)/AX93</f>
        <v>0.15942028985507239</v>
      </c>
      <c r="BA93" s="15"/>
    </row>
    <row r="94" spans="2:53" ht="11.25" customHeight="1">
      <c r="B94" s="5"/>
      <c r="C94" s="5"/>
      <c r="D94" s="5" t="s">
        <v>8</v>
      </c>
      <c r="E94" s="5">
        <v>1</v>
      </c>
      <c r="F94" s="5">
        <v>1</v>
      </c>
      <c r="G94" s="5">
        <v>6</v>
      </c>
      <c r="H94" s="5">
        <v>3</v>
      </c>
      <c r="I94" s="5">
        <v>2</v>
      </c>
      <c r="J94" s="5">
        <v>2</v>
      </c>
      <c r="K94" s="5">
        <v>3</v>
      </c>
      <c r="L94" s="5">
        <v>1</v>
      </c>
      <c r="M94" s="5">
        <v>3</v>
      </c>
      <c r="N94" s="5">
        <v>1</v>
      </c>
      <c r="O94" s="5">
        <v>3</v>
      </c>
      <c r="P94" s="5">
        <v>4</v>
      </c>
      <c r="Q94" s="5">
        <v>2</v>
      </c>
      <c r="R94" s="5">
        <v>5</v>
      </c>
      <c r="S94" s="5">
        <v>5</v>
      </c>
      <c r="T94" s="5">
        <v>4</v>
      </c>
      <c r="U94" s="5">
        <v>6</v>
      </c>
      <c r="V94" s="5">
        <v>3</v>
      </c>
      <c r="W94" s="5">
        <v>2</v>
      </c>
      <c r="X94" s="5">
        <v>2</v>
      </c>
      <c r="Y94" s="5">
        <v>5</v>
      </c>
      <c r="Z94" s="5">
        <v>3</v>
      </c>
      <c r="AA94" s="5">
        <v>4</v>
      </c>
      <c r="AB94" s="5">
        <v>5</v>
      </c>
      <c r="AC94" s="5">
        <v>4</v>
      </c>
      <c r="AD94" s="5">
        <v>0</v>
      </c>
      <c r="AE94" s="5">
        <v>3</v>
      </c>
      <c r="AF94" s="5">
        <v>0</v>
      </c>
      <c r="AG94" s="5">
        <v>5</v>
      </c>
      <c r="AH94" s="5">
        <v>4</v>
      </c>
      <c r="AI94" s="5">
        <v>8</v>
      </c>
      <c r="AJ94" s="5">
        <v>3</v>
      </c>
      <c r="AK94" s="5">
        <v>3</v>
      </c>
      <c r="AL94" s="5">
        <v>4</v>
      </c>
      <c r="AM94" s="5">
        <v>7</v>
      </c>
      <c r="AN94" s="5">
        <v>8</v>
      </c>
      <c r="AO94" s="5">
        <v>4</v>
      </c>
      <c r="AP94" s="5">
        <v>3</v>
      </c>
      <c r="AQ94" s="5">
        <v>8</v>
      </c>
      <c r="AR94" s="5">
        <v>7</v>
      </c>
      <c r="AS94" s="5">
        <v>2</v>
      </c>
      <c r="AT94" s="5">
        <v>1</v>
      </c>
      <c r="AU94" s="5"/>
      <c r="AV94" s="8">
        <f t="shared" si="51"/>
        <v>3.3333333333333335</v>
      </c>
      <c r="AW94" s="8">
        <f t="shared" si="52"/>
        <v>4.2</v>
      </c>
      <c r="AX94" s="8">
        <f t="shared" si="53"/>
        <v>4.7</v>
      </c>
      <c r="AY94" s="8"/>
      <c r="AZ94" s="47">
        <f t="shared" si="54"/>
        <v>-0.78723404255319152</v>
      </c>
      <c r="BA94" s="15"/>
    </row>
    <row r="95" spans="2:53" ht="11.25" customHeight="1">
      <c r="B95" s="5"/>
      <c r="C95" s="5"/>
      <c r="D95" s="5" t="s">
        <v>143</v>
      </c>
      <c r="E95" s="5"/>
      <c r="F95" s="5"/>
      <c r="G95" s="5"/>
      <c r="H95" s="5"/>
      <c r="I95" s="46" t="s">
        <v>124</v>
      </c>
      <c r="J95" s="46" t="s">
        <v>124</v>
      </c>
      <c r="K95" s="46" t="s">
        <v>124</v>
      </c>
      <c r="L95" s="46" t="s">
        <v>124</v>
      </c>
      <c r="M95" s="46" t="s">
        <v>124</v>
      </c>
      <c r="N95" s="46" t="s">
        <v>124</v>
      </c>
      <c r="O95" s="46" t="s">
        <v>124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2</v>
      </c>
      <c r="Y95" s="5">
        <v>0</v>
      </c>
      <c r="Z95" s="5">
        <v>1</v>
      </c>
      <c r="AA95" s="5">
        <v>0</v>
      </c>
      <c r="AB95" s="5">
        <v>2</v>
      </c>
      <c r="AC95" s="5">
        <v>1</v>
      </c>
      <c r="AD95" s="5">
        <v>0</v>
      </c>
      <c r="AE95" s="5">
        <v>1</v>
      </c>
      <c r="AF95" s="5">
        <v>0</v>
      </c>
      <c r="AG95" s="5">
        <v>3</v>
      </c>
      <c r="AH95" s="5">
        <v>1</v>
      </c>
      <c r="AI95" s="5">
        <v>1</v>
      </c>
      <c r="AJ95" s="5">
        <v>2</v>
      </c>
      <c r="AK95" s="5">
        <v>4</v>
      </c>
      <c r="AL95" s="5">
        <v>0</v>
      </c>
      <c r="AM95" s="5">
        <v>1</v>
      </c>
      <c r="AN95" s="5">
        <v>3</v>
      </c>
      <c r="AO95" s="5">
        <v>3</v>
      </c>
      <c r="AP95" s="5">
        <v>0</v>
      </c>
      <c r="AQ95" s="5">
        <v>3</v>
      </c>
      <c r="AR95" s="5">
        <v>1</v>
      </c>
      <c r="AS95" s="5">
        <v>2</v>
      </c>
      <c r="AT95" s="5">
        <v>2</v>
      </c>
      <c r="AU95" s="5"/>
      <c r="AV95" s="8">
        <f t="shared" si="51"/>
        <v>1.6666666666666667</v>
      </c>
      <c r="AW95" s="8">
        <f t="shared" si="52"/>
        <v>1.6</v>
      </c>
      <c r="AX95" s="8">
        <f t="shared" si="53"/>
        <v>1.9</v>
      </c>
      <c r="AY95" s="8"/>
      <c r="AZ95" s="47">
        <f t="shared" si="54"/>
        <v>5.2631578947368474E-2</v>
      </c>
      <c r="BA95" s="15"/>
    </row>
    <row r="96" spans="2:53" ht="11.2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0"/>
      <c r="AW96" s="10"/>
      <c r="AX96" s="10"/>
      <c r="AY96" s="15"/>
      <c r="AZ96" s="15"/>
      <c r="BA96" s="15"/>
    </row>
    <row r="97" spans="2:53" ht="11.25" customHeight="1">
      <c r="B97" s="5" t="s">
        <v>28</v>
      </c>
      <c r="C97" s="5" t="s">
        <v>268</v>
      </c>
      <c r="D97" s="5" t="s">
        <v>315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5">
        <v>7</v>
      </c>
      <c r="AQ97" s="5">
        <v>2</v>
      </c>
      <c r="AR97" s="5">
        <v>8</v>
      </c>
      <c r="AS97" s="5">
        <v>2</v>
      </c>
      <c r="AT97" s="5">
        <v>11</v>
      </c>
      <c r="AU97" s="46"/>
      <c r="AV97" s="8">
        <f t="shared" ref="AV97:AV103" si="55">IF(SUM(AR97:AT97)&gt;=0,AVERAGE(AR97:AT97),"")</f>
        <v>7</v>
      </c>
      <c r="AW97" s="8">
        <f t="shared" ref="AW97:AW102" si="56">IF(SUM(AP97:AT97)&gt;=0,AVERAGE(AP97:AT97),"")</f>
        <v>6</v>
      </c>
      <c r="AX97" s="6" t="s">
        <v>125</v>
      </c>
      <c r="AY97" s="15"/>
      <c r="AZ97" s="15"/>
      <c r="BA97" s="15"/>
    </row>
    <row r="98" spans="2:53" ht="11.25" customHeight="1">
      <c r="B98" s="15"/>
      <c r="C98" s="5" t="s">
        <v>29</v>
      </c>
      <c r="D98" s="5" t="s">
        <v>56</v>
      </c>
      <c r="E98" s="5">
        <v>68</v>
      </c>
      <c r="F98" s="5">
        <v>61</v>
      </c>
      <c r="G98" s="5">
        <v>53</v>
      </c>
      <c r="H98" s="5">
        <v>38</v>
      </c>
      <c r="I98" s="5">
        <v>47</v>
      </c>
      <c r="J98" s="5">
        <v>53</v>
      </c>
      <c r="K98" s="5">
        <v>53</v>
      </c>
      <c r="L98" s="5">
        <v>56</v>
      </c>
      <c r="M98" s="5">
        <v>39</v>
      </c>
      <c r="N98" s="5">
        <v>55</v>
      </c>
      <c r="O98" s="5">
        <v>61</v>
      </c>
      <c r="P98" s="5">
        <v>64</v>
      </c>
      <c r="Q98" s="5">
        <v>80</v>
      </c>
      <c r="R98" s="5">
        <v>79</v>
      </c>
      <c r="S98" s="5">
        <v>89</v>
      </c>
      <c r="T98" s="5">
        <v>111</v>
      </c>
      <c r="U98" s="5">
        <v>101</v>
      </c>
      <c r="V98" s="5">
        <v>99</v>
      </c>
      <c r="W98" s="5">
        <v>95</v>
      </c>
      <c r="X98" s="5">
        <v>84</v>
      </c>
      <c r="Y98" s="5">
        <v>109</v>
      </c>
      <c r="Z98" s="5">
        <v>127</v>
      </c>
      <c r="AA98" s="5">
        <v>135</v>
      </c>
      <c r="AB98" s="5">
        <v>130</v>
      </c>
      <c r="AC98" s="5">
        <v>139</v>
      </c>
      <c r="AD98" s="5">
        <v>140</v>
      </c>
      <c r="AE98" s="5">
        <v>136</v>
      </c>
      <c r="AF98" s="5">
        <v>123</v>
      </c>
      <c r="AG98" s="5">
        <v>126</v>
      </c>
      <c r="AH98" s="5">
        <v>147</v>
      </c>
      <c r="AI98" s="5">
        <v>121</v>
      </c>
      <c r="AJ98" s="5">
        <v>129</v>
      </c>
      <c r="AK98" s="5">
        <v>129</v>
      </c>
      <c r="AL98" s="5">
        <v>146</v>
      </c>
      <c r="AM98" s="5">
        <v>144</v>
      </c>
      <c r="AN98" s="5">
        <v>145</v>
      </c>
      <c r="AO98" s="5">
        <v>122</v>
      </c>
      <c r="AP98" s="5">
        <v>162</v>
      </c>
      <c r="AQ98" s="5">
        <v>167</v>
      </c>
      <c r="AR98" s="5">
        <v>140</v>
      </c>
      <c r="AS98" s="5">
        <v>156</v>
      </c>
      <c r="AT98" s="5">
        <v>166</v>
      </c>
      <c r="AU98" s="5"/>
      <c r="AV98" s="8">
        <f t="shared" si="55"/>
        <v>154</v>
      </c>
      <c r="AW98" s="8">
        <f t="shared" si="56"/>
        <v>158.19999999999999</v>
      </c>
      <c r="AX98" s="8">
        <f t="shared" ref="AX98:AX102" si="57">IF(SUM(AK98:AT98)&gt;=0,AVERAGE(AK98:AT98),"")</f>
        <v>147.69999999999999</v>
      </c>
      <c r="AY98" s="8"/>
      <c r="AZ98" s="47">
        <f t="shared" ref="AZ98:AZ102" si="58">(AT98-AX98)/AX98</f>
        <v>0.12389979688557896</v>
      </c>
      <c r="BA98" s="15"/>
    </row>
    <row r="99" spans="2:53" ht="11.25" customHeight="1">
      <c r="B99" s="5"/>
      <c r="C99" s="5"/>
      <c r="D99" s="5" t="s">
        <v>12</v>
      </c>
      <c r="E99" s="5">
        <v>0</v>
      </c>
      <c r="F99" s="5">
        <v>6</v>
      </c>
      <c r="G99" s="5">
        <v>20</v>
      </c>
      <c r="H99" s="5">
        <v>8</v>
      </c>
      <c r="I99" s="5">
        <v>8</v>
      </c>
      <c r="J99" s="5">
        <v>21</v>
      </c>
      <c r="K99" s="5">
        <v>18</v>
      </c>
      <c r="L99" s="5">
        <v>15</v>
      </c>
      <c r="M99" s="5">
        <v>26</v>
      </c>
      <c r="N99" s="5">
        <v>19</v>
      </c>
      <c r="O99" s="5">
        <v>12</v>
      </c>
      <c r="P99" s="5">
        <v>23</v>
      </c>
      <c r="Q99" s="5">
        <v>14</v>
      </c>
      <c r="R99" s="5">
        <v>22</v>
      </c>
      <c r="S99" s="5">
        <v>15</v>
      </c>
      <c r="T99" s="5">
        <v>15</v>
      </c>
      <c r="U99" s="5">
        <v>12</v>
      </c>
      <c r="V99" s="5">
        <v>11</v>
      </c>
      <c r="W99" s="5">
        <v>11</v>
      </c>
      <c r="X99" s="5">
        <v>13</v>
      </c>
      <c r="Y99" s="5">
        <v>10</v>
      </c>
      <c r="Z99" s="5">
        <v>7</v>
      </c>
      <c r="AA99" s="5">
        <v>9</v>
      </c>
      <c r="AB99" s="5">
        <v>12</v>
      </c>
      <c r="AC99" s="5">
        <v>13</v>
      </c>
      <c r="AD99" s="5">
        <v>14</v>
      </c>
      <c r="AE99" s="5">
        <v>9</v>
      </c>
      <c r="AF99" s="5">
        <v>14</v>
      </c>
      <c r="AG99" s="5">
        <v>11</v>
      </c>
      <c r="AH99" s="5">
        <v>14</v>
      </c>
      <c r="AI99" s="5">
        <v>15</v>
      </c>
      <c r="AJ99" s="5">
        <v>15</v>
      </c>
      <c r="AK99" s="5">
        <v>10</v>
      </c>
      <c r="AL99" s="5">
        <v>17</v>
      </c>
      <c r="AM99" s="5">
        <v>15</v>
      </c>
      <c r="AN99" s="5">
        <v>19</v>
      </c>
      <c r="AO99" s="5">
        <v>17</v>
      </c>
      <c r="AP99" s="5">
        <v>12</v>
      </c>
      <c r="AQ99" s="5">
        <v>12</v>
      </c>
      <c r="AR99" s="5">
        <v>18</v>
      </c>
      <c r="AS99" s="5">
        <v>11</v>
      </c>
      <c r="AT99" s="5">
        <v>20</v>
      </c>
      <c r="AU99" s="5"/>
      <c r="AV99" s="8">
        <f t="shared" si="55"/>
        <v>16.333333333333332</v>
      </c>
      <c r="AW99" s="8">
        <f t="shared" si="56"/>
        <v>14.6</v>
      </c>
      <c r="AX99" s="8">
        <f t="shared" si="57"/>
        <v>15.1</v>
      </c>
      <c r="AY99" s="8"/>
      <c r="AZ99" s="47">
        <f t="shared" si="58"/>
        <v>0.32450331125827819</v>
      </c>
      <c r="BA99" s="15"/>
    </row>
    <row r="100" spans="2:53" ht="11.25" customHeight="1">
      <c r="B100" s="5"/>
      <c r="C100" s="5"/>
      <c r="D100" s="5" t="s">
        <v>9</v>
      </c>
      <c r="E100" s="5">
        <v>0</v>
      </c>
      <c r="F100" s="5">
        <v>4</v>
      </c>
      <c r="G100" s="5">
        <v>3</v>
      </c>
      <c r="H100" s="5">
        <v>5</v>
      </c>
      <c r="I100" s="5">
        <v>2</v>
      </c>
      <c r="J100" s="5">
        <v>5</v>
      </c>
      <c r="K100" s="5">
        <v>6</v>
      </c>
      <c r="L100" s="5">
        <v>8</v>
      </c>
      <c r="M100" s="5">
        <v>8</v>
      </c>
      <c r="N100" s="5">
        <v>6</v>
      </c>
      <c r="O100" s="5">
        <v>6</v>
      </c>
      <c r="P100" s="5">
        <v>6</v>
      </c>
      <c r="Q100" s="5">
        <v>11</v>
      </c>
      <c r="R100" s="5">
        <v>10</v>
      </c>
      <c r="S100" s="5">
        <v>11</v>
      </c>
      <c r="T100" s="5">
        <v>7</v>
      </c>
      <c r="U100" s="5">
        <v>4</v>
      </c>
      <c r="V100" s="5">
        <v>9</v>
      </c>
      <c r="W100" s="5">
        <v>5</v>
      </c>
      <c r="X100" s="5">
        <v>6</v>
      </c>
      <c r="Y100" s="5">
        <f>5+2+4</f>
        <v>11</v>
      </c>
      <c r="Z100" s="5">
        <f>4+2</f>
        <v>6</v>
      </c>
      <c r="AA100" s="5">
        <v>11</v>
      </c>
      <c r="AB100" s="5">
        <v>4</v>
      </c>
      <c r="AC100" s="5">
        <v>7</v>
      </c>
      <c r="AD100" s="5">
        <v>7</v>
      </c>
      <c r="AE100" s="5">
        <v>6</v>
      </c>
      <c r="AF100" s="5">
        <v>12</v>
      </c>
      <c r="AG100" s="5">
        <v>10</v>
      </c>
      <c r="AH100" s="5">
        <v>6</v>
      </c>
      <c r="AI100" s="5">
        <v>6</v>
      </c>
      <c r="AJ100" s="5">
        <v>8</v>
      </c>
      <c r="AK100" s="5">
        <v>7</v>
      </c>
      <c r="AL100" s="5">
        <v>5</v>
      </c>
      <c r="AM100" s="5">
        <v>10</v>
      </c>
      <c r="AN100" s="5">
        <v>7</v>
      </c>
      <c r="AO100" s="5">
        <v>15</v>
      </c>
      <c r="AP100" s="5">
        <v>7</v>
      </c>
      <c r="AQ100" s="5">
        <v>12</v>
      </c>
      <c r="AR100" s="5">
        <v>10</v>
      </c>
      <c r="AS100" s="5">
        <v>11</v>
      </c>
      <c r="AT100" s="5">
        <v>10</v>
      </c>
      <c r="AU100" s="5"/>
      <c r="AV100" s="8">
        <f t="shared" si="55"/>
        <v>10.333333333333334</v>
      </c>
      <c r="AW100" s="8">
        <f t="shared" si="56"/>
        <v>10</v>
      </c>
      <c r="AX100" s="8">
        <f t="shared" si="57"/>
        <v>9.4</v>
      </c>
      <c r="AY100" s="8"/>
      <c r="AZ100" s="47">
        <f t="shared" si="58"/>
        <v>6.3829787234042507E-2</v>
      </c>
      <c r="BA100" s="15"/>
    </row>
    <row r="101" spans="2:53" ht="11.25" customHeight="1">
      <c r="B101" s="5"/>
      <c r="C101" s="5" t="s">
        <v>110</v>
      </c>
      <c r="D101" s="5" t="s">
        <v>134</v>
      </c>
      <c r="E101" s="5"/>
      <c r="F101" s="5"/>
      <c r="G101" s="5"/>
      <c r="H101" s="5"/>
      <c r="I101" s="46" t="s">
        <v>124</v>
      </c>
      <c r="J101" s="46" t="s">
        <v>124</v>
      </c>
      <c r="K101" s="46" t="s">
        <v>124</v>
      </c>
      <c r="L101" s="46" t="s">
        <v>124</v>
      </c>
      <c r="M101" s="46" t="s">
        <v>124</v>
      </c>
      <c r="N101" s="46" t="s">
        <v>124</v>
      </c>
      <c r="O101" s="46" t="s">
        <v>124</v>
      </c>
      <c r="P101" s="46" t="s">
        <v>124</v>
      </c>
      <c r="Q101" s="46" t="s">
        <v>124</v>
      </c>
      <c r="R101" s="46" t="s">
        <v>124</v>
      </c>
      <c r="S101" s="46" t="s">
        <v>124</v>
      </c>
      <c r="T101" s="46" t="s">
        <v>124</v>
      </c>
      <c r="U101" s="46" t="s">
        <v>124</v>
      </c>
      <c r="V101" s="46" t="s">
        <v>124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1</v>
      </c>
      <c r="AF101" s="5">
        <v>0</v>
      </c>
      <c r="AG101" s="5">
        <v>0</v>
      </c>
      <c r="AH101" s="5">
        <v>0</v>
      </c>
      <c r="AI101" s="5">
        <v>0</v>
      </c>
      <c r="AJ101" s="5">
        <v>1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1</v>
      </c>
      <c r="AR101" s="5">
        <v>0</v>
      </c>
      <c r="AS101" s="5">
        <v>1</v>
      </c>
      <c r="AT101" s="5">
        <v>0</v>
      </c>
      <c r="AU101" s="5"/>
      <c r="AV101" s="8">
        <f t="shared" si="55"/>
        <v>0.33333333333333331</v>
      </c>
      <c r="AW101" s="8">
        <f t="shared" si="56"/>
        <v>0.4</v>
      </c>
      <c r="AX101" s="8">
        <f t="shared" si="57"/>
        <v>0.2</v>
      </c>
      <c r="AY101" s="8"/>
      <c r="AZ101" s="47">
        <f t="shared" si="58"/>
        <v>-1</v>
      </c>
      <c r="BA101" s="15"/>
    </row>
    <row r="102" spans="2:53" ht="11.25" customHeight="1">
      <c r="B102" s="5"/>
      <c r="C102" s="5" t="s">
        <v>214</v>
      </c>
      <c r="D102" s="5" t="s">
        <v>165</v>
      </c>
      <c r="E102" s="5"/>
      <c r="F102" s="5"/>
      <c r="G102" s="5"/>
      <c r="H102" s="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5"/>
      <c r="X102" s="5"/>
      <c r="Y102" s="5"/>
      <c r="Z102" s="5"/>
      <c r="AA102" s="5"/>
      <c r="AB102" s="5"/>
      <c r="AC102" s="5"/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1</v>
      </c>
      <c r="AN102" s="5">
        <v>1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/>
      <c r="AV102" s="8">
        <f t="shared" si="55"/>
        <v>0</v>
      </c>
      <c r="AW102" s="8">
        <f t="shared" si="56"/>
        <v>0</v>
      </c>
      <c r="AX102" s="8">
        <f t="shared" si="57"/>
        <v>0.2</v>
      </c>
      <c r="AY102" s="8"/>
      <c r="AZ102" s="47">
        <f t="shared" si="58"/>
        <v>-1</v>
      </c>
      <c r="BA102" s="15"/>
    </row>
    <row r="103" spans="2:53" ht="11.25" customHeight="1">
      <c r="B103" s="5"/>
      <c r="C103" s="5" t="s">
        <v>292</v>
      </c>
      <c r="D103" s="5" t="s">
        <v>293</v>
      </c>
      <c r="E103" s="5"/>
      <c r="F103" s="5"/>
      <c r="G103" s="5"/>
      <c r="H103" s="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>
        <v>1</v>
      </c>
      <c r="AS103" s="5">
        <v>4</v>
      </c>
      <c r="AT103" s="5">
        <v>11</v>
      </c>
      <c r="AU103" s="46"/>
      <c r="AV103" s="8">
        <f t="shared" si="55"/>
        <v>5.333333333333333</v>
      </c>
      <c r="AW103" s="6" t="s">
        <v>125</v>
      </c>
      <c r="AX103" s="6" t="s">
        <v>125</v>
      </c>
      <c r="AY103" s="15"/>
      <c r="AZ103" s="15"/>
      <c r="BA103" s="15"/>
    </row>
    <row r="104" spans="2:53" ht="11.2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0"/>
      <c r="AW104" s="10"/>
      <c r="AX104" s="10"/>
      <c r="AY104" s="15"/>
      <c r="AZ104" s="15"/>
      <c r="BA104" s="15"/>
    </row>
    <row r="105" spans="2:53" ht="11.25" customHeight="1">
      <c r="B105" s="5" t="s">
        <v>31</v>
      </c>
      <c r="C105" s="5" t="s">
        <v>32</v>
      </c>
      <c r="D105" s="5" t="s">
        <v>57</v>
      </c>
      <c r="E105" s="5">
        <v>17</v>
      </c>
      <c r="F105" s="5">
        <v>14</v>
      </c>
      <c r="G105" s="5">
        <v>12</v>
      </c>
      <c r="H105" s="5">
        <v>5</v>
      </c>
      <c r="I105" s="5">
        <v>9</v>
      </c>
      <c r="J105" s="5">
        <v>5</v>
      </c>
      <c r="K105" s="5">
        <v>5</v>
      </c>
      <c r="L105" s="5">
        <v>0</v>
      </c>
      <c r="M105" s="5">
        <v>7</v>
      </c>
      <c r="N105" s="5">
        <v>8</v>
      </c>
      <c r="O105" s="5">
        <v>5</v>
      </c>
      <c r="P105" s="5">
        <v>16</v>
      </c>
      <c r="Q105" s="5">
        <v>18</v>
      </c>
      <c r="R105" s="5">
        <v>26</v>
      </c>
      <c r="S105" s="5">
        <f>3+15</f>
        <v>18</v>
      </c>
      <c r="T105" s="5">
        <v>19</v>
      </c>
      <c r="U105" s="5">
        <v>11</v>
      </c>
      <c r="V105" s="5">
        <v>4</v>
      </c>
      <c r="W105" s="5">
        <v>7</v>
      </c>
      <c r="X105" s="5">
        <v>10</v>
      </c>
      <c r="Y105" s="5">
        <f>10+9</f>
        <v>19</v>
      </c>
      <c r="Z105" s="5">
        <f>14+6</f>
        <v>20</v>
      </c>
      <c r="AA105" s="5">
        <v>15</v>
      </c>
      <c r="AB105" s="5">
        <v>13</v>
      </c>
      <c r="AC105" s="5">
        <v>16</v>
      </c>
      <c r="AD105" s="5">
        <v>21</v>
      </c>
      <c r="AE105" s="5">
        <v>26</v>
      </c>
      <c r="AF105" s="5">
        <v>25</v>
      </c>
      <c r="AG105" s="5">
        <v>18</v>
      </c>
      <c r="AH105" s="5">
        <v>23</v>
      </c>
      <c r="AI105" s="5">
        <v>20</v>
      </c>
      <c r="AJ105" s="5">
        <v>18</v>
      </c>
      <c r="AK105" s="5">
        <v>33</v>
      </c>
      <c r="AL105" s="5">
        <v>22</v>
      </c>
      <c r="AM105" s="5">
        <v>22</v>
      </c>
      <c r="AN105" s="5">
        <v>18</v>
      </c>
      <c r="AO105" s="5">
        <v>21</v>
      </c>
      <c r="AP105" s="5">
        <v>26</v>
      </c>
      <c r="AQ105" s="5">
        <v>37</v>
      </c>
      <c r="AR105" s="5">
        <v>18</v>
      </c>
      <c r="AS105" s="5">
        <v>24</v>
      </c>
      <c r="AT105" s="5">
        <v>19</v>
      </c>
      <c r="AU105" s="5"/>
      <c r="AV105" s="8">
        <f>IF(SUM(AR105:AT105)&gt;=0,AVERAGE(AR105:AT105),"")</f>
        <v>20.333333333333332</v>
      </c>
      <c r="AW105" s="8">
        <f>IF(SUM(AP105:AT105)&gt;=0,AVERAGE(AP105:AT105),"")</f>
        <v>24.8</v>
      </c>
      <c r="AX105" s="8">
        <f t="shared" ref="AX105" si="59">IF(SUM(AK105:AT105)&gt;=0,AVERAGE(AK105:AT105),"")</f>
        <v>24</v>
      </c>
      <c r="AY105" s="8"/>
      <c r="AZ105" s="47">
        <f t="shared" ref="AZ105" si="60">(AT105-AX105)/AX105</f>
        <v>-0.20833333333333334</v>
      </c>
      <c r="BA105" s="15"/>
    </row>
    <row r="106" spans="2:53" ht="11.25" customHeight="1">
      <c r="B106" s="5"/>
      <c r="C106" s="5"/>
      <c r="D106" s="5" t="s">
        <v>274</v>
      </c>
      <c r="E106" s="5">
        <v>0</v>
      </c>
      <c r="F106" s="5">
        <v>2</v>
      </c>
      <c r="G106" s="5">
        <v>5</v>
      </c>
      <c r="H106" s="5">
        <v>4</v>
      </c>
      <c r="I106" s="5">
        <v>2</v>
      </c>
      <c r="J106" s="5">
        <v>3</v>
      </c>
      <c r="K106" s="5">
        <v>0</v>
      </c>
      <c r="L106" s="5">
        <v>2</v>
      </c>
      <c r="M106" s="5">
        <v>0</v>
      </c>
      <c r="N106" s="5">
        <v>2</v>
      </c>
      <c r="O106" s="5">
        <v>3</v>
      </c>
      <c r="P106" s="5">
        <v>1</v>
      </c>
      <c r="Q106" s="5">
        <v>0</v>
      </c>
      <c r="R106" s="5">
        <v>0</v>
      </c>
      <c r="S106" s="5">
        <v>1</v>
      </c>
      <c r="T106" s="5">
        <v>1</v>
      </c>
      <c r="U106" s="5">
        <v>0</v>
      </c>
      <c r="V106" s="5">
        <v>3</v>
      </c>
      <c r="W106" s="5">
        <v>2</v>
      </c>
      <c r="X106" s="5">
        <v>0</v>
      </c>
      <c r="Y106" s="5">
        <v>3</v>
      </c>
      <c r="Z106" s="5">
        <v>3</v>
      </c>
      <c r="AA106" s="5">
        <v>4</v>
      </c>
      <c r="AB106" s="5">
        <v>6</v>
      </c>
      <c r="AC106" s="5">
        <v>5</v>
      </c>
      <c r="AD106" s="5">
        <v>3</v>
      </c>
      <c r="AE106" s="5">
        <v>5</v>
      </c>
      <c r="AF106" s="5">
        <v>3</v>
      </c>
      <c r="AG106" s="5">
        <v>4</v>
      </c>
      <c r="AH106" s="5">
        <v>5</v>
      </c>
      <c r="AI106" s="5">
        <v>6</v>
      </c>
      <c r="AJ106" s="5">
        <v>2</v>
      </c>
      <c r="AK106" s="5">
        <v>7</v>
      </c>
      <c r="AL106" s="5">
        <v>3</v>
      </c>
      <c r="AM106" s="5">
        <v>1</v>
      </c>
      <c r="AN106" s="5"/>
      <c r="AO106" s="5"/>
      <c r="AP106" s="5"/>
      <c r="AQ106" s="5"/>
      <c r="AR106" s="5"/>
      <c r="AS106" s="5"/>
      <c r="AT106" s="5"/>
      <c r="AU106" s="46"/>
      <c r="AV106" s="6" t="s">
        <v>125</v>
      </c>
      <c r="AW106" s="6" t="s">
        <v>125</v>
      </c>
      <c r="AX106" s="6" t="s">
        <v>125</v>
      </c>
      <c r="AY106" s="15"/>
      <c r="AZ106" s="15"/>
      <c r="BA106" s="15"/>
    </row>
    <row r="107" spans="2:53" ht="11.2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6"/>
      <c r="AV107" s="6"/>
      <c r="AW107" s="6"/>
      <c r="AX107" s="6"/>
      <c r="AY107" s="15"/>
      <c r="AZ107" s="15"/>
      <c r="BA107" s="15"/>
    </row>
    <row r="108" spans="2:53">
      <c r="B108" s="15" t="s">
        <v>190</v>
      </c>
      <c r="C108" s="5" t="s">
        <v>304</v>
      </c>
      <c r="D108" s="5" t="s">
        <v>280</v>
      </c>
      <c r="E108" s="15"/>
      <c r="F108" s="15"/>
      <c r="G108" s="15"/>
      <c r="H108" s="1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5"/>
      <c r="AG108" s="5"/>
      <c r="AH108" s="5"/>
      <c r="AI108" s="5"/>
      <c r="AJ108" s="5"/>
      <c r="AK108" s="5"/>
      <c r="AL108" s="5"/>
      <c r="AM108" s="5"/>
      <c r="AN108" s="5">
        <v>0</v>
      </c>
      <c r="AO108" s="5">
        <v>0</v>
      </c>
      <c r="AP108" s="5">
        <v>1</v>
      </c>
      <c r="AQ108" s="5">
        <v>0</v>
      </c>
      <c r="AR108" s="5"/>
      <c r="AS108" s="5"/>
      <c r="AT108" s="5"/>
      <c r="AU108" s="5"/>
      <c r="AV108" s="6" t="s">
        <v>125</v>
      </c>
      <c r="AW108" s="6" t="s">
        <v>125</v>
      </c>
      <c r="AX108" s="6" t="s">
        <v>125</v>
      </c>
      <c r="AY108" s="15"/>
      <c r="AZ108" s="15"/>
      <c r="BA108" s="15"/>
    </row>
    <row r="109" spans="2:53">
      <c r="B109" s="15"/>
      <c r="C109" s="5" t="s">
        <v>301</v>
      </c>
      <c r="D109" s="5" t="s">
        <v>225</v>
      </c>
      <c r="E109" s="15"/>
      <c r="F109" s="15"/>
      <c r="G109" s="15"/>
      <c r="H109" s="1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5"/>
      <c r="AG109" s="5"/>
      <c r="AH109" s="5"/>
      <c r="AI109" s="5">
        <v>4</v>
      </c>
      <c r="AJ109" s="5">
        <v>17</v>
      </c>
      <c r="AK109" s="5">
        <v>27</v>
      </c>
      <c r="AL109" s="5">
        <v>34</v>
      </c>
      <c r="AM109" s="5">
        <v>40</v>
      </c>
      <c r="AN109" s="5">
        <v>48</v>
      </c>
      <c r="AO109" s="5">
        <v>34</v>
      </c>
      <c r="AP109" s="5">
        <v>46</v>
      </c>
      <c r="AQ109" s="5">
        <v>35</v>
      </c>
      <c r="AR109" s="5"/>
      <c r="AS109" s="5"/>
      <c r="AT109" s="5"/>
      <c r="AU109" s="5"/>
      <c r="AV109" s="6" t="s">
        <v>125</v>
      </c>
      <c r="AW109" s="6" t="s">
        <v>125</v>
      </c>
      <c r="AX109" s="6" t="s">
        <v>125</v>
      </c>
      <c r="AY109" s="15"/>
      <c r="AZ109" s="15"/>
      <c r="BA109" s="15"/>
    </row>
    <row r="110" spans="2:53">
      <c r="B110" s="15"/>
      <c r="C110" s="5" t="s">
        <v>312</v>
      </c>
      <c r="D110" s="5" t="s">
        <v>56</v>
      </c>
      <c r="E110" s="15"/>
      <c r="F110" s="15"/>
      <c r="G110" s="15"/>
      <c r="H110" s="1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5"/>
      <c r="AG110" s="5"/>
      <c r="AH110" s="5">
        <v>5</v>
      </c>
      <c r="AI110" s="5">
        <v>4</v>
      </c>
      <c r="AJ110" s="5">
        <v>3</v>
      </c>
      <c r="AK110" s="5">
        <v>4</v>
      </c>
      <c r="AL110" s="5">
        <v>6</v>
      </c>
      <c r="AM110" s="5">
        <v>10</v>
      </c>
      <c r="AN110" s="5">
        <v>13</v>
      </c>
      <c r="AO110" s="5">
        <v>6</v>
      </c>
      <c r="AP110" s="5">
        <v>11</v>
      </c>
      <c r="AQ110" s="5">
        <v>13</v>
      </c>
      <c r="AR110" s="5">
        <v>13</v>
      </c>
      <c r="AS110" s="5">
        <v>6</v>
      </c>
      <c r="AT110" s="5">
        <v>3</v>
      </c>
      <c r="AU110" s="5"/>
      <c r="AV110" s="6" t="s">
        <v>125</v>
      </c>
      <c r="AW110" s="6" t="s">
        <v>125</v>
      </c>
      <c r="AX110" s="6" t="s">
        <v>125</v>
      </c>
      <c r="AY110" s="15"/>
      <c r="AZ110" s="15"/>
      <c r="BA110" s="15"/>
    </row>
    <row r="111" spans="2:53" ht="11.2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0"/>
      <c r="AW111" s="10"/>
      <c r="AX111" s="10"/>
      <c r="AY111" s="15"/>
      <c r="AZ111" s="15"/>
      <c r="BA111" s="15"/>
    </row>
    <row r="112" spans="2:53" ht="11.2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0"/>
      <c r="AW112" s="10"/>
      <c r="AX112" s="10"/>
      <c r="AY112" s="15"/>
      <c r="AZ112" s="15"/>
      <c r="BA112" s="15"/>
    </row>
    <row r="113" spans="2:53" ht="11.25" customHeight="1">
      <c r="B113" s="5" t="s">
        <v>58</v>
      </c>
      <c r="C113" s="5"/>
      <c r="D113" s="49" t="s">
        <v>189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5">
        <f t="shared" ref="AN113:AS113" si="61">AN15+AN16+AN19+AN20+AN41+AN42+AN49+AN57+AN71+AN73+AN76+AN97+AN103+AN108</f>
        <v>2</v>
      </c>
      <c r="AO113" s="5">
        <f t="shared" si="61"/>
        <v>20</v>
      </c>
      <c r="AP113" s="5">
        <f t="shared" si="61"/>
        <v>34</v>
      </c>
      <c r="AQ113" s="5">
        <f t="shared" si="61"/>
        <v>29</v>
      </c>
      <c r="AR113" s="5">
        <f t="shared" si="61"/>
        <v>36</v>
      </c>
      <c r="AS113" s="5">
        <f t="shared" si="61"/>
        <v>35</v>
      </c>
      <c r="AT113" s="5">
        <f>AT15+AT16+AT19+AT20+AT41+AT42+AT49+AT57+AT71+AT73+AT76+AT97+AT103+AT108</f>
        <v>66</v>
      </c>
      <c r="AU113" s="46"/>
      <c r="AV113" s="8">
        <f t="shared" ref="AV113:AV117" si="62">IF(SUM(AR113:AT113)&gt;=0,AVERAGE(AR113:AT113),"")</f>
        <v>45.666666666666664</v>
      </c>
      <c r="AW113" s="8">
        <f t="shared" ref="AW113:AW117" si="63">IF(SUM(AP113:AT113)&gt;=0,AVERAGE(AP113:AT113),"")</f>
        <v>40</v>
      </c>
      <c r="AX113" s="6" t="s">
        <v>125</v>
      </c>
      <c r="AY113" s="15"/>
      <c r="AZ113" s="15"/>
      <c r="BA113" s="15"/>
    </row>
    <row r="114" spans="2:53" ht="11.25" customHeight="1">
      <c r="B114" s="15"/>
      <c r="C114" s="5"/>
      <c r="D114" s="49" t="s">
        <v>2</v>
      </c>
      <c r="E114" s="50">
        <f t="shared" ref="E114:AM114" si="64">E17+E18+E22+E13+E24+E25+E27+E35+E39+E43+E45+E50+E54+E59+E60+E61+E62+E64+E69+E74+E77+E80+E81+E84+E87+E88+E91+E93+E98+E105+E109+E110</f>
        <v>476</v>
      </c>
      <c r="F114" s="50">
        <f t="shared" si="64"/>
        <v>420</v>
      </c>
      <c r="G114" s="50">
        <f t="shared" si="64"/>
        <v>396</v>
      </c>
      <c r="H114" s="50">
        <f t="shared" si="64"/>
        <v>407</v>
      </c>
      <c r="I114" s="50">
        <f t="shared" si="64"/>
        <v>386</v>
      </c>
      <c r="J114" s="50">
        <f t="shared" si="64"/>
        <v>375</v>
      </c>
      <c r="K114" s="50">
        <f t="shared" si="64"/>
        <v>375</v>
      </c>
      <c r="L114" s="50">
        <f t="shared" si="64"/>
        <v>397</v>
      </c>
      <c r="M114" s="50">
        <f t="shared" si="64"/>
        <v>341</v>
      </c>
      <c r="N114" s="50">
        <f t="shared" si="64"/>
        <v>365</v>
      </c>
      <c r="O114" s="50">
        <f t="shared" si="64"/>
        <v>424</v>
      </c>
      <c r="P114" s="50">
        <f t="shared" si="64"/>
        <v>446</v>
      </c>
      <c r="Q114" s="50">
        <f t="shared" si="64"/>
        <v>469</v>
      </c>
      <c r="R114" s="50">
        <f t="shared" si="64"/>
        <v>509</v>
      </c>
      <c r="S114" s="50">
        <f t="shared" si="64"/>
        <v>519</v>
      </c>
      <c r="T114" s="50">
        <f t="shared" si="64"/>
        <v>558</v>
      </c>
      <c r="U114" s="50">
        <f t="shared" si="64"/>
        <v>578</v>
      </c>
      <c r="V114" s="50">
        <f t="shared" si="64"/>
        <v>566</v>
      </c>
      <c r="W114" s="50">
        <f t="shared" si="64"/>
        <v>562</v>
      </c>
      <c r="X114" s="50">
        <f t="shared" si="64"/>
        <v>616</v>
      </c>
      <c r="Y114" s="50">
        <f t="shared" si="64"/>
        <v>607</v>
      </c>
      <c r="Z114" s="50">
        <f t="shared" si="64"/>
        <v>633</v>
      </c>
      <c r="AA114" s="50">
        <f t="shared" si="64"/>
        <v>669</v>
      </c>
      <c r="AB114" s="50">
        <f t="shared" si="64"/>
        <v>685</v>
      </c>
      <c r="AC114" s="50">
        <f t="shared" si="64"/>
        <v>804</v>
      </c>
      <c r="AD114" s="50">
        <f t="shared" si="64"/>
        <v>853</v>
      </c>
      <c r="AE114" s="50">
        <f t="shared" si="64"/>
        <v>803</v>
      </c>
      <c r="AF114" s="50">
        <f t="shared" si="64"/>
        <v>875</v>
      </c>
      <c r="AG114" s="50">
        <f t="shared" si="64"/>
        <v>868</v>
      </c>
      <c r="AH114" s="50">
        <f t="shared" si="64"/>
        <v>967</v>
      </c>
      <c r="AI114" s="50">
        <f t="shared" si="64"/>
        <v>878</v>
      </c>
      <c r="AJ114" s="50">
        <f t="shared" si="64"/>
        <v>878</v>
      </c>
      <c r="AK114" s="50">
        <f t="shared" si="64"/>
        <v>915</v>
      </c>
      <c r="AL114" s="50">
        <f t="shared" si="64"/>
        <v>937</v>
      </c>
      <c r="AM114" s="50">
        <f t="shared" si="64"/>
        <v>903</v>
      </c>
      <c r="AN114" s="50">
        <f t="shared" ref="AN114:AS114" si="65">AN17+AN18+AN22+AN13+AN24+AN25+AN27+AN35+AN39+AN43+AN45+AN50+AN54+AN59+AN60+AN61+AN62+AN64+AN69+AN74+AN77+AN80+AN81+AN84+AN87+AN88+AN91+AN93+AN98+AN105+AN109+AN110</f>
        <v>969</v>
      </c>
      <c r="AO114" s="50">
        <f t="shared" si="65"/>
        <v>938</v>
      </c>
      <c r="AP114" s="50">
        <f t="shared" si="65"/>
        <v>1100</v>
      </c>
      <c r="AQ114" s="50">
        <f t="shared" si="65"/>
        <v>1111</v>
      </c>
      <c r="AR114" s="50">
        <f t="shared" si="65"/>
        <v>927</v>
      </c>
      <c r="AS114" s="50">
        <f t="shared" si="65"/>
        <v>923</v>
      </c>
      <c r="AT114" s="50">
        <f>AT17+AT18+AT22+AT13+AT24+AT25+AT27+AT35+AT39+AT43+AT45+AT50+AT54+AT59+AT60+AT61+AT62+AT64+AT69+AT74+AT77+AT80+AT81+AT84+AT87+AT88+AT91+AT93+AT98+AT105+AT109+AT110</f>
        <v>914</v>
      </c>
      <c r="AU114" s="50"/>
      <c r="AV114" s="8">
        <f t="shared" si="62"/>
        <v>921.33333333333337</v>
      </c>
      <c r="AW114" s="8">
        <f t="shared" si="63"/>
        <v>995</v>
      </c>
      <c r="AX114" s="8">
        <f t="shared" ref="AX114:AX117" si="66">IF(SUM(AK114:AT114)&gt;=0,AVERAGE(AK114:AT114),"")</f>
        <v>963.7</v>
      </c>
      <c r="AY114" s="8"/>
      <c r="AZ114" s="47">
        <f t="shared" ref="AZ114:AZ117" si="67">(AT114-AX114)/AX114</f>
        <v>-5.157206599564184E-2</v>
      </c>
      <c r="BA114" s="15"/>
    </row>
    <row r="115" spans="2:53" ht="11.25" customHeight="1">
      <c r="B115" s="5"/>
      <c r="C115" s="5"/>
      <c r="D115" s="49" t="s">
        <v>121</v>
      </c>
      <c r="E115" s="50">
        <f t="shared" ref="E115:AM115" si="68">E30+E33+E56+E66+E67+E101+E102+E234</f>
        <v>0</v>
      </c>
      <c r="F115" s="50">
        <f t="shared" si="68"/>
        <v>0</v>
      </c>
      <c r="G115" s="50">
        <f t="shared" si="68"/>
        <v>0</v>
      </c>
      <c r="H115" s="50">
        <f t="shared" si="68"/>
        <v>0</v>
      </c>
      <c r="I115" s="50">
        <f t="shared" si="68"/>
        <v>0</v>
      </c>
      <c r="J115" s="50">
        <f t="shared" si="68"/>
        <v>0</v>
      </c>
      <c r="K115" s="50">
        <f t="shared" si="68"/>
        <v>0</v>
      </c>
      <c r="L115" s="50">
        <f t="shared" si="68"/>
        <v>0</v>
      </c>
      <c r="M115" s="50">
        <f t="shared" si="68"/>
        <v>0</v>
      </c>
      <c r="N115" s="50">
        <f t="shared" si="68"/>
        <v>0</v>
      </c>
      <c r="O115" s="50">
        <f t="shared" si="68"/>
        <v>0</v>
      </c>
      <c r="P115" s="50">
        <f t="shared" si="68"/>
        <v>0</v>
      </c>
      <c r="Q115" s="50">
        <f t="shared" si="68"/>
        <v>0</v>
      </c>
      <c r="R115" s="50">
        <f t="shared" si="68"/>
        <v>0</v>
      </c>
      <c r="S115" s="50">
        <f t="shared" si="68"/>
        <v>0</v>
      </c>
      <c r="T115" s="50">
        <f t="shared" si="68"/>
        <v>0</v>
      </c>
      <c r="U115" s="50">
        <f t="shared" si="68"/>
        <v>0</v>
      </c>
      <c r="V115" s="50">
        <f t="shared" si="68"/>
        <v>0</v>
      </c>
      <c r="W115" s="50">
        <f t="shared" si="68"/>
        <v>0</v>
      </c>
      <c r="X115" s="50">
        <f t="shared" si="68"/>
        <v>12</v>
      </c>
      <c r="Y115" s="50">
        <f t="shared" si="68"/>
        <v>12</v>
      </c>
      <c r="Z115" s="50">
        <f t="shared" si="68"/>
        <v>11</v>
      </c>
      <c r="AA115" s="50">
        <f t="shared" si="68"/>
        <v>10</v>
      </c>
      <c r="AB115" s="50">
        <f t="shared" si="68"/>
        <v>14</v>
      </c>
      <c r="AC115" s="50">
        <f t="shared" si="68"/>
        <v>14</v>
      </c>
      <c r="AD115" s="50">
        <f t="shared" si="68"/>
        <v>19</v>
      </c>
      <c r="AE115" s="50">
        <f t="shared" si="68"/>
        <v>18</v>
      </c>
      <c r="AF115" s="50">
        <f t="shared" si="68"/>
        <v>25</v>
      </c>
      <c r="AG115" s="50">
        <f t="shared" si="68"/>
        <v>26</v>
      </c>
      <c r="AH115" s="50">
        <f t="shared" si="68"/>
        <v>34</v>
      </c>
      <c r="AI115" s="50">
        <f t="shared" si="68"/>
        <v>18</v>
      </c>
      <c r="AJ115" s="50">
        <f t="shared" si="68"/>
        <v>29</v>
      </c>
      <c r="AK115" s="50">
        <f t="shared" si="68"/>
        <v>35</v>
      </c>
      <c r="AL115" s="50">
        <f t="shared" si="68"/>
        <v>20</v>
      </c>
      <c r="AM115" s="50">
        <f t="shared" si="68"/>
        <v>30</v>
      </c>
      <c r="AN115" s="50">
        <f t="shared" ref="AN115:AS115" si="69">AN30+AN33+AN56+AN66+AN67+AN101+AN102+AN234</f>
        <v>27</v>
      </c>
      <c r="AO115" s="50">
        <f t="shared" si="69"/>
        <v>9</v>
      </c>
      <c r="AP115" s="50">
        <f t="shared" si="69"/>
        <v>23</v>
      </c>
      <c r="AQ115" s="50">
        <f t="shared" si="69"/>
        <v>15</v>
      </c>
      <c r="AR115" s="50">
        <f t="shared" si="69"/>
        <v>17</v>
      </c>
      <c r="AS115" s="50">
        <f t="shared" si="69"/>
        <v>10</v>
      </c>
      <c r="AT115" s="50">
        <f>AT30+AT33+AT56+AT66+AT67+AT101+AT102</f>
        <v>9</v>
      </c>
      <c r="AU115" s="50"/>
      <c r="AV115" s="8">
        <f t="shared" si="62"/>
        <v>12</v>
      </c>
      <c r="AW115" s="8">
        <f t="shared" si="63"/>
        <v>14.8</v>
      </c>
      <c r="AX115" s="8">
        <f t="shared" si="66"/>
        <v>19.5</v>
      </c>
      <c r="AY115" s="8"/>
      <c r="AZ115" s="47">
        <f t="shared" si="67"/>
        <v>-0.53846153846153844</v>
      </c>
      <c r="BA115" s="15"/>
    </row>
    <row r="116" spans="2:53" ht="11.25" customHeight="1">
      <c r="B116" s="5"/>
      <c r="C116" s="5"/>
      <c r="D116" s="49" t="s">
        <v>3</v>
      </c>
      <c r="E116" s="50">
        <f t="shared" ref="E116:AS116" si="70">E14+E28+E36+E40+E46+E51+E53+E55+E65+E75+E78+E82+E85+E89+E94+E99+E106</f>
        <v>43</v>
      </c>
      <c r="F116" s="50">
        <f t="shared" si="70"/>
        <v>48</v>
      </c>
      <c r="G116" s="50">
        <f t="shared" si="70"/>
        <v>75</v>
      </c>
      <c r="H116" s="50">
        <f t="shared" si="70"/>
        <v>50</v>
      </c>
      <c r="I116" s="50">
        <f t="shared" si="70"/>
        <v>59</v>
      </c>
      <c r="J116" s="50">
        <f t="shared" si="70"/>
        <v>60</v>
      </c>
      <c r="K116" s="50">
        <f t="shared" si="70"/>
        <v>51</v>
      </c>
      <c r="L116" s="50">
        <f t="shared" si="70"/>
        <v>53</v>
      </c>
      <c r="M116" s="50">
        <f t="shared" si="70"/>
        <v>56</v>
      </c>
      <c r="N116" s="50">
        <f t="shared" si="70"/>
        <v>59</v>
      </c>
      <c r="O116" s="50">
        <f t="shared" si="70"/>
        <v>47</v>
      </c>
      <c r="P116" s="50">
        <f t="shared" si="70"/>
        <v>69</v>
      </c>
      <c r="Q116" s="50">
        <f t="shared" si="70"/>
        <v>56</v>
      </c>
      <c r="R116" s="50">
        <f t="shared" si="70"/>
        <v>66</v>
      </c>
      <c r="S116" s="50">
        <f t="shared" si="70"/>
        <v>84</v>
      </c>
      <c r="T116" s="50">
        <f t="shared" si="70"/>
        <v>91</v>
      </c>
      <c r="U116" s="50">
        <f t="shared" si="70"/>
        <v>95</v>
      </c>
      <c r="V116" s="50">
        <f t="shared" si="70"/>
        <v>94</v>
      </c>
      <c r="W116" s="50">
        <f t="shared" si="70"/>
        <v>111</v>
      </c>
      <c r="X116" s="50">
        <f t="shared" si="70"/>
        <v>92</v>
      </c>
      <c r="Y116" s="50">
        <f t="shared" si="70"/>
        <v>123</v>
      </c>
      <c r="Z116" s="50">
        <f t="shared" si="70"/>
        <v>102</v>
      </c>
      <c r="AA116" s="50">
        <f t="shared" si="70"/>
        <v>99</v>
      </c>
      <c r="AB116" s="50">
        <f t="shared" si="70"/>
        <v>125</v>
      </c>
      <c r="AC116" s="50">
        <f t="shared" si="70"/>
        <v>149</v>
      </c>
      <c r="AD116" s="50">
        <f t="shared" si="70"/>
        <v>161</v>
      </c>
      <c r="AE116" s="50">
        <f t="shared" si="70"/>
        <v>158</v>
      </c>
      <c r="AF116" s="50">
        <f t="shared" si="70"/>
        <v>172</v>
      </c>
      <c r="AG116" s="50">
        <f t="shared" si="70"/>
        <v>181</v>
      </c>
      <c r="AH116" s="50">
        <f t="shared" si="70"/>
        <v>197</v>
      </c>
      <c r="AI116" s="50">
        <f t="shared" si="70"/>
        <v>203</v>
      </c>
      <c r="AJ116" s="50">
        <f t="shared" si="70"/>
        <v>180</v>
      </c>
      <c r="AK116" s="50">
        <f t="shared" si="70"/>
        <v>224</v>
      </c>
      <c r="AL116" s="50">
        <f t="shared" si="70"/>
        <v>190</v>
      </c>
      <c r="AM116" s="50">
        <f t="shared" si="70"/>
        <v>228</v>
      </c>
      <c r="AN116" s="50">
        <f t="shared" si="70"/>
        <v>179</v>
      </c>
      <c r="AO116" s="50">
        <f t="shared" si="70"/>
        <v>162</v>
      </c>
      <c r="AP116" s="50">
        <f t="shared" si="70"/>
        <v>161</v>
      </c>
      <c r="AQ116" s="50">
        <f t="shared" si="70"/>
        <v>165</v>
      </c>
      <c r="AR116" s="50">
        <f t="shared" si="70"/>
        <v>173</v>
      </c>
      <c r="AS116" s="50">
        <f t="shared" si="70"/>
        <v>181</v>
      </c>
      <c r="AT116" s="50">
        <f>AT14+AT28+AT36+AT40+AT46+AT51+AT53+AT55+AT65+AT75+AT78+AT82+AT85+AT89+AT94+AT99+AT106</f>
        <v>136</v>
      </c>
      <c r="AU116" s="50"/>
      <c r="AV116" s="8">
        <f t="shared" si="62"/>
        <v>163.33333333333334</v>
      </c>
      <c r="AW116" s="8">
        <f t="shared" si="63"/>
        <v>163.19999999999999</v>
      </c>
      <c r="AX116" s="8">
        <f t="shared" si="66"/>
        <v>179.9</v>
      </c>
      <c r="AY116" s="8"/>
      <c r="AZ116" s="47">
        <f t="shared" si="67"/>
        <v>-0.24402445803224015</v>
      </c>
      <c r="BA116" s="15"/>
    </row>
    <row r="117" spans="2:53" ht="11.25" customHeight="1">
      <c r="B117" s="5"/>
      <c r="C117" s="5"/>
      <c r="D117" s="49" t="s">
        <v>4</v>
      </c>
      <c r="E117" s="50">
        <f t="shared" ref="E117:AM117" si="71">E29+E37+E47+E72+E90+E95+E100</f>
        <v>3</v>
      </c>
      <c r="F117" s="50">
        <f t="shared" si="71"/>
        <v>5</v>
      </c>
      <c r="G117" s="50">
        <f t="shared" si="71"/>
        <v>6</v>
      </c>
      <c r="H117" s="50">
        <f t="shared" si="71"/>
        <v>7</v>
      </c>
      <c r="I117" s="50">
        <f t="shared" si="71"/>
        <v>5</v>
      </c>
      <c r="J117" s="50">
        <f t="shared" si="71"/>
        <v>5</v>
      </c>
      <c r="K117" s="50">
        <f t="shared" si="71"/>
        <v>10</v>
      </c>
      <c r="L117" s="50">
        <f t="shared" si="71"/>
        <v>10</v>
      </c>
      <c r="M117" s="50">
        <f t="shared" si="71"/>
        <v>10</v>
      </c>
      <c r="N117" s="50">
        <f t="shared" si="71"/>
        <v>8</v>
      </c>
      <c r="O117" s="50">
        <f t="shared" si="71"/>
        <v>13</v>
      </c>
      <c r="P117" s="50">
        <f t="shared" si="71"/>
        <v>10</v>
      </c>
      <c r="Q117" s="50">
        <f t="shared" si="71"/>
        <v>14</v>
      </c>
      <c r="R117" s="50">
        <f t="shared" si="71"/>
        <v>14</v>
      </c>
      <c r="S117" s="50">
        <f t="shared" si="71"/>
        <v>18</v>
      </c>
      <c r="T117" s="50">
        <f t="shared" si="71"/>
        <v>14</v>
      </c>
      <c r="U117" s="50">
        <f t="shared" si="71"/>
        <v>8</v>
      </c>
      <c r="V117" s="50">
        <f t="shared" si="71"/>
        <v>18</v>
      </c>
      <c r="W117" s="50">
        <f t="shared" si="71"/>
        <v>14</v>
      </c>
      <c r="X117" s="50">
        <f t="shared" si="71"/>
        <v>22</v>
      </c>
      <c r="Y117" s="50">
        <f t="shared" si="71"/>
        <v>25</v>
      </c>
      <c r="Z117" s="50">
        <f t="shared" si="71"/>
        <v>22</v>
      </c>
      <c r="AA117" s="50">
        <f t="shared" si="71"/>
        <v>28</v>
      </c>
      <c r="AB117" s="50">
        <f t="shared" si="71"/>
        <v>16</v>
      </c>
      <c r="AC117" s="50">
        <f t="shared" si="71"/>
        <v>21</v>
      </c>
      <c r="AD117" s="50">
        <f t="shared" si="71"/>
        <v>20</v>
      </c>
      <c r="AE117" s="50">
        <f t="shared" si="71"/>
        <v>17</v>
      </c>
      <c r="AF117" s="50">
        <f t="shared" si="71"/>
        <v>27</v>
      </c>
      <c r="AG117" s="50">
        <f t="shared" si="71"/>
        <v>30</v>
      </c>
      <c r="AH117" s="50">
        <f t="shared" si="71"/>
        <v>30</v>
      </c>
      <c r="AI117" s="50">
        <f t="shared" si="71"/>
        <v>24</v>
      </c>
      <c r="AJ117" s="50">
        <f t="shared" si="71"/>
        <v>34</v>
      </c>
      <c r="AK117" s="50">
        <f t="shared" si="71"/>
        <v>35</v>
      </c>
      <c r="AL117" s="50">
        <f t="shared" si="71"/>
        <v>24</v>
      </c>
      <c r="AM117" s="50">
        <f t="shared" si="71"/>
        <v>33</v>
      </c>
      <c r="AN117" s="50">
        <f t="shared" ref="AN117:AS117" si="72">AN29+AN37+AN47+AN72+AN90+AN95+AN100</f>
        <v>29</v>
      </c>
      <c r="AO117" s="50">
        <f t="shared" si="72"/>
        <v>36</v>
      </c>
      <c r="AP117" s="50">
        <f t="shared" si="72"/>
        <v>32</v>
      </c>
      <c r="AQ117" s="50">
        <f t="shared" si="72"/>
        <v>29</v>
      </c>
      <c r="AR117" s="50">
        <f t="shared" si="72"/>
        <v>35</v>
      </c>
      <c r="AS117" s="50">
        <f t="shared" si="72"/>
        <v>39</v>
      </c>
      <c r="AT117" s="50">
        <f>AT29+AT37+AT47+AT72+AT90+AT95+AT100</f>
        <v>27</v>
      </c>
      <c r="AU117" s="50"/>
      <c r="AV117" s="8">
        <f t="shared" si="62"/>
        <v>33.666666666666664</v>
      </c>
      <c r="AW117" s="8">
        <f t="shared" si="63"/>
        <v>32.4</v>
      </c>
      <c r="AX117" s="8">
        <f t="shared" si="66"/>
        <v>31.9</v>
      </c>
      <c r="AY117" s="8"/>
      <c r="AZ117" s="47">
        <f t="shared" si="67"/>
        <v>-0.15360501567398116</v>
      </c>
      <c r="BA117" s="15"/>
    </row>
    <row r="118" spans="2:53" ht="11.2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10"/>
      <c r="AW118" s="10"/>
      <c r="AX118" s="10"/>
      <c r="AY118" s="15"/>
      <c r="AZ118" s="15"/>
      <c r="BA118" s="15"/>
    </row>
    <row r="119" spans="2:53" ht="11.25" customHeight="1">
      <c r="B119" s="5" t="s">
        <v>59</v>
      </c>
      <c r="C119" s="5"/>
      <c r="D119" s="5" t="s">
        <v>122</v>
      </c>
      <c r="E119" s="50">
        <f t="shared" ref="E119:AM119" si="73">SUM(E113:E117)</f>
        <v>522</v>
      </c>
      <c r="F119" s="50">
        <f t="shared" si="73"/>
        <v>473</v>
      </c>
      <c r="G119" s="50">
        <f t="shared" si="73"/>
        <v>477</v>
      </c>
      <c r="H119" s="50">
        <f t="shared" si="73"/>
        <v>464</v>
      </c>
      <c r="I119" s="50">
        <f t="shared" si="73"/>
        <v>450</v>
      </c>
      <c r="J119" s="50">
        <f t="shared" si="73"/>
        <v>440</v>
      </c>
      <c r="K119" s="50">
        <f t="shared" si="73"/>
        <v>436</v>
      </c>
      <c r="L119" s="50">
        <f t="shared" si="73"/>
        <v>460</v>
      </c>
      <c r="M119" s="50">
        <f t="shared" si="73"/>
        <v>407</v>
      </c>
      <c r="N119" s="50">
        <f t="shared" si="73"/>
        <v>432</v>
      </c>
      <c r="O119" s="50">
        <f t="shared" si="73"/>
        <v>484</v>
      </c>
      <c r="P119" s="50">
        <f t="shared" si="73"/>
        <v>525</v>
      </c>
      <c r="Q119" s="50">
        <f t="shared" si="73"/>
        <v>539</v>
      </c>
      <c r="R119" s="50">
        <f t="shared" si="73"/>
        <v>589</v>
      </c>
      <c r="S119" s="50">
        <f t="shared" si="73"/>
        <v>621</v>
      </c>
      <c r="T119" s="50">
        <f t="shared" si="73"/>
        <v>663</v>
      </c>
      <c r="U119" s="50">
        <f t="shared" si="73"/>
        <v>681</v>
      </c>
      <c r="V119" s="50">
        <f t="shared" si="73"/>
        <v>678</v>
      </c>
      <c r="W119" s="50">
        <f t="shared" si="73"/>
        <v>687</v>
      </c>
      <c r="X119" s="50">
        <f t="shared" si="73"/>
        <v>742</v>
      </c>
      <c r="Y119" s="50">
        <f t="shared" si="73"/>
        <v>767</v>
      </c>
      <c r="Z119" s="50">
        <f t="shared" si="73"/>
        <v>768</v>
      </c>
      <c r="AA119" s="50">
        <f t="shared" si="73"/>
        <v>806</v>
      </c>
      <c r="AB119" s="50">
        <f t="shared" si="73"/>
        <v>840</v>
      </c>
      <c r="AC119" s="50">
        <f t="shared" si="73"/>
        <v>988</v>
      </c>
      <c r="AD119" s="50">
        <f t="shared" si="73"/>
        <v>1053</v>
      </c>
      <c r="AE119" s="50">
        <f t="shared" si="73"/>
        <v>996</v>
      </c>
      <c r="AF119" s="50">
        <f t="shared" si="73"/>
        <v>1099</v>
      </c>
      <c r="AG119" s="50">
        <f t="shared" si="73"/>
        <v>1105</v>
      </c>
      <c r="AH119" s="50">
        <f t="shared" si="73"/>
        <v>1228</v>
      </c>
      <c r="AI119" s="50">
        <f t="shared" si="73"/>
        <v>1123</v>
      </c>
      <c r="AJ119" s="50">
        <f t="shared" si="73"/>
        <v>1121</v>
      </c>
      <c r="AK119" s="50">
        <f t="shared" si="73"/>
        <v>1209</v>
      </c>
      <c r="AL119" s="50">
        <f t="shared" si="73"/>
        <v>1171</v>
      </c>
      <c r="AM119" s="50">
        <f t="shared" si="73"/>
        <v>1194</v>
      </c>
      <c r="AN119" s="50">
        <f t="shared" ref="AN119:AS119" si="74">SUM(AN113:AN117)</f>
        <v>1206</v>
      </c>
      <c r="AO119" s="50">
        <f t="shared" si="74"/>
        <v>1165</v>
      </c>
      <c r="AP119" s="50">
        <f t="shared" si="74"/>
        <v>1350</v>
      </c>
      <c r="AQ119" s="50">
        <f t="shared" si="74"/>
        <v>1349</v>
      </c>
      <c r="AR119" s="50">
        <f t="shared" si="74"/>
        <v>1188</v>
      </c>
      <c r="AS119" s="50">
        <f t="shared" si="74"/>
        <v>1188</v>
      </c>
      <c r="AT119" s="50">
        <f t="shared" ref="AT119" si="75">SUM(AT113:AT117)</f>
        <v>1152</v>
      </c>
      <c r="AU119" s="50"/>
      <c r="AV119" s="8">
        <f>IF(SUM(AR119:AT119)&gt;=0,AVERAGE(AR119:AT119),"")</f>
        <v>1176</v>
      </c>
      <c r="AW119" s="8">
        <f>IF(SUM(AP119:AT119)&gt;=0,AVERAGE(AP119:AT119),"")</f>
        <v>1245.4000000000001</v>
      </c>
      <c r="AX119" s="8">
        <f t="shared" ref="AX119" si="76">IF(SUM(AK119:AT119)&gt;=0,AVERAGE(AK119:AT119),"")</f>
        <v>1217.2</v>
      </c>
      <c r="AY119" s="8"/>
      <c r="AZ119" s="47">
        <f t="shared" ref="AZ119" si="77">(AT119-AX119)/AX119</f>
        <v>-5.3565560302333261E-2</v>
      </c>
      <c r="BA119" s="15"/>
    </row>
    <row r="120" spans="2:53" ht="11.25" customHeight="1">
      <c r="B120" s="5"/>
      <c r="C120" s="5"/>
      <c r="D120" s="5"/>
      <c r="E120" s="5"/>
      <c r="F120" s="5"/>
      <c r="G120" s="5"/>
      <c r="H120" s="5"/>
      <c r="I120" s="5" t="str">
        <f t="shared" ref="I120:T120" si="78">IF(I119=SUM(I114:I117),"","ERR")</f>
        <v/>
      </c>
      <c r="J120" s="5" t="str">
        <f t="shared" si="78"/>
        <v/>
      </c>
      <c r="K120" s="5" t="str">
        <f t="shared" si="78"/>
        <v/>
      </c>
      <c r="L120" s="5" t="str">
        <f t="shared" si="78"/>
        <v/>
      </c>
      <c r="M120" s="5" t="str">
        <f t="shared" si="78"/>
        <v/>
      </c>
      <c r="N120" s="5" t="str">
        <f t="shared" si="78"/>
        <v/>
      </c>
      <c r="O120" s="5" t="str">
        <f t="shared" si="78"/>
        <v/>
      </c>
      <c r="P120" s="5" t="str">
        <f t="shared" si="78"/>
        <v/>
      </c>
      <c r="Q120" s="5" t="str">
        <f t="shared" si="78"/>
        <v/>
      </c>
      <c r="R120" s="5" t="str">
        <f t="shared" si="78"/>
        <v/>
      </c>
      <c r="S120" s="5" t="str">
        <f t="shared" si="78"/>
        <v/>
      </c>
      <c r="T120" s="5" t="str">
        <f t="shared" si="78"/>
        <v/>
      </c>
      <c r="U120" s="5"/>
      <c r="V120" s="5"/>
      <c r="W120" s="5"/>
      <c r="X120" s="5"/>
      <c r="Y120" s="5"/>
      <c r="Z120" s="5"/>
      <c r="AA120" s="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0"/>
      <c r="AW120" s="10"/>
      <c r="AX120" s="10"/>
      <c r="AY120" s="15"/>
      <c r="AZ120" s="15"/>
      <c r="BA120" s="15"/>
    </row>
    <row r="121" spans="2:53" ht="11.2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0"/>
      <c r="AW121" s="10"/>
      <c r="AX121" s="10"/>
      <c r="AY121" s="15"/>
      <c r="AZ121" s="15"/>
      <c r="BA121" s="15"/>
    </row>
    <row r="122" spans="2:53" ht="21.75" customHeight="1">
      <c r="B122" s="20" t="s">
        <v>104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41"/>
      <c r="AZ122" s="41"/>
      <c r="BA122" s="41"/>
    </row>
    <row r="123" spans="2:5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2:53" ht="11.25" customHeight="1">
      <c r="B124" s="5" t="s">
        <v>74</v>
      </c>
      <c r="C124" s="5" t="s">
        <v>61</v>
      </c>
      <c r="D124" s="5" t="s">
        <v>142</v>
      </c>
      <c r="E124" s="5"/>
      <c r="F124" s="5"/>
      <c r="G124" s="5"/>
      <c r="H124" s="5"/>
      <c r="I124" s="46" t="s">
        <v>124</v>
      </c>
      <c r="J124" s="46" t="s">
        <v>124</v>
      </c>
      <c r="K124" s="46" t="s">
        <v>124</v>
      </c>
      <c r="L124" s="46" t="s">
        <v>124</v>
      </c>
      <c r="M124" s="46" t="s">
        <v>124</v>
      </c>
      <c r="N124" s="46" t="s">
        <v>124</v>
      </c>
      <c r="O124" s="46" t="s">
        <v>124</v>
      </c>
      <c r="P124" s="46" t="s">
        <v>124</v>
      </c>
      <c r="Q124" s="46" t="s">
        <v>124</v>
      </c>
      <c r="R124" s="46" t="s">
        <v>124</v>
      </c>
      <c r="S124" s="46" t="s">
        <v>124</v>
      </c>
      <c r="T124" s="46" t="s">
        <v>124</v>
      </c>
      <c r="U124" s="46" t="s">
        <v>124</v>
      </c>
      <c r="V124" s="46" t="s">
        <v>124</v>
      </c>
      <c r="W124" s="46"/>
      <c r="X124" s="46"/>
      <c r="Y124" s="5">
        <v>99</v>
      </c>
      <c r="Z124" s="5">
        <v>132</v>
      </c>
      <c r="AA124" s="5">
        <v>81</v>
      </c>
      <c r="AB124" s="5">
        <v>79</v>
      </c>
      <c r="AC124" s="5">
        <v>83</v>
      </c>
      <c r="AD124" s="5">
        <v>94</v>
      </c>
      <c r="AE124" s="5">
        <v>110</v>
      </c>
      <c r="AF124" s="5">
        <v>103</v>
      </c>
      <c r="AG124" s="5">
        <v>102</v>
      </c>
      <c r="AH124" s="5">
        <v>133</v>
      </c>
      <c r="AI124" s="5">
        <v>152</v>
      </c>
      <c r="AJ124" s="5">
        <v>117</v>
      </c>
      <c r="AK124" s="5">
        <v>132</v>
      </c>
      <c r="AL124" s="5">
        <v>132</v>
      </c>
      <c r="AM124" s="5">
        <v>100</v>
      </c>
      <c r="AN124" s="5">
        <v>76</v>
      </c>
      <c r="AO124" s="5">
        <v>107</v>
      </c>
      <c r="AP124" s="5">
        <v>101</v>
      </c>
      <c r="AQ124" s="5">
        <v>96</v>
      </c>
      <c r="AR124" s="5">
        <v>105</v>
      </c>
      <c r="AS124" s="5">
        <v>109</v>
      </c>
      <c r="AT124" s="5">
        <v>100</v>
      </c>
      <c r="AU124" s="5"/>
      <c r="AV124" s="8">
        <f t="shared" ref="AV124:AV134" si="79">IF(SUM(AR124:AT124)&gt;=0,AVERAGE(AR124:AT124),"")</f>
        <v>104.66666666666667</v>
      </c>
      <c r="AW124" s="8">
        <f t="shared" ref="AW124:AW134" si="80">IF(SUM(AP124:AT124)&gt;=0,AVERAGE(AP124:AT124),"")</f>
        <v>102.2</v>
      </c>
      <c r="AX124" s="8">
        <f t="shared" ref="AX124:AX134" si="81">IF(SUM(AK124:AT124)&gt;=0,AVERAGE(AK124:AT124),"")</f>
        <v>105.8</v>
      </c>
      <c r="AY124" s="8"/>
      <c r="AZ124" s="47">
        <f t="shared" ref="AZ124:AZ134" si="82">(AT124-AX124)/AX124</f>
        <v>-5.4820415879016988E-2</v>
      </c>
      <c r="BA124" s="15"/>
    </row>
    <row r="125" spans="2:53" ht="11.25" customHeight="1">
      <c r="B125" s="15"/>
      <c r="C125" s="15"/>
      <c r="D125" s="5" t="s">
        <v>75</v>
      </c>
      <c r="E125" s="5"/>
      <c r="F125" s="5"/>
      <c r="G125" s="5"/>
      <c r="H125" s="5"/>
      <c r="I125" s="5">
        <v>1</v>
      </c>
      <c r="J125" s="5">
        <v>0</v>
      </c>
      <c r="K125" s="5">
        <v>1</v>
      </c>
      <c r="L125" s="5">
        <v>1</v>
      </c>
      <c r="M125" s="5">
        <v>2</v>
      </c>
      <c r="N125" s="5">
        <v>2</v>
      </c>
      <c r="O125" s="5">
        <v>6</v>
      </c>
      <c r="P125" s="5">
        <v>9</v>
      </c>
      <c r="Q125" s="5">
        <v>7</v>
      </c>
      <c r="R125" s="5">
        <v>19</v>
      </c>
      <c r="S125" s="5">
        <v>20</v>
      </c>
      <c r="T125" s="5">
        <v>16</v>
      </c>
      <c r="U125" s="5">
        <v>20</v>
      </c>
      <c r="V125" s="5">
        <v>18</v>
      </c>
      <c r="W125" s="5">
        <v>17</v>
      </c>
      <c r="X125" s="5">
        <v>9</v>
      </c>
      <c r="Y125" s="5">
        <f>5+3</f>
        <v>8</v>
      </c>
      <c r="Z125" s="5">
        <f>4+2</f>
        <v>6</v>
      </c>
      <c r="AA125" s="5">
        <v>4</v>
      </c>
      <c r="AB125" s="5">
        <v>2</v>
      </c>
      <c r="AC125" s="5">
        <v>13</v>
      </c>
      <c r="AD125" s="5">
        <v>11</v>
      </c>
      <c r="AE125" s="5">
        <v>14</v>
      </c>
      <c r="AF125" s="5">
        <v>10</v>
      </c>
      <c r="AG125" s="5">
        <v>9</v>
      </c>
      <c r="AH125" s="5">
        <v>17</v>
      </c>
      <c r="AI125" s="5">
        <v>22</v>
      </c>
      <c r="AJ125" s="5">
        <v>25</v>
      </c>
      <c r="AK125" s="5">
        <v>36</v>
      </c>
      <c r="AL125" s="5">
        <v>40</v>
      </c>
      <c r="AM125" s="5">
        <v>46</v>
      </c>
      <c r="AN125" s="5">
        <v>43</v>
      </c>
      <c r="AO125" s="5">
        <v>30</v>
      </c>
      <c r="AP125" s="5">
        <v>34</v>
      </c>
      <c r="AQ125" s="5">
        <v>25</v>
      </c>
      <c r="AR125" s="5">
        <v>37</v>
      </c>
      <c r="AS125" s="5">
        <v>19</v>
      </c>
      <c r="AT125" s="5">
        <v>35</v>
      </c>
      <c r="AU125" s="5"/>
      <c r="AV125" s="8">
        <f t="shared" si="79"/>
        <v>30.333333333333332</v>
      </c>
      <c r="AW125" s="8">
        <f t="shared" si="80"/>
        <v>30</v>
      </c>
      <c r="AX125" s="8">
        <f t="shared" si="81"/>
        <v>34.5</v>
      </c>
      <c r="AY125" s="8"/>
      <c r="AZ125" s="47">
        <f t="shared" si="82"/>
        <v>1.4492753623188406E-2</v>
      </c>
      <c r="BA125" s="15"/>
    </row>
    <row r="126" spans="2:53" ht="11.25" customHeight="1">
      <c r="B126" s="5"/>
      <c r="C126" s="5" t="s">
        <v>34</v>
      </c>
      <c r="D126" s="5" t="s">
        <v>33</v>
      </c>
      <c r="E126" s="5">
        <v>616</v>
      </c>
      <c r="F126" s="5">
        <v>558</v>
      </c>
      <c r="G126" s="5">
        <v>592</v>
      </c>
      <c r="H126" s="5">
        <v>585</v>
      </c>
      <c r="I126" s="5">
        <v>603</v>
      </c>
      <c r="J126" s="5">
        <v>615</v>
      </c>
      <c r="K126" s="5">
        <v>572</v>
      </c>
      <c r="L126" s="5">
        <v>570</v>
      </c>
      <c r="M126" s="5">
        <v>623</v>
      </c>
      <c r="N126" s="5">
        <v>624</v>
      </c>
      <c r="O126" s="5">
        <v>644</v>
      </c>
      <c r="P126" s="5">
        <v>711</v>
      </c>
      <c r="Q126" s="5">
        <v>750</v>
      </c>
      <c r="R126" s="5">
        <v>673</v>
      </c>
      <c r="S126" s="5">
        <f>92+195+37+34+7+131+168</f>
        <v>664</v>
      </c>
      <c r="T126" s="5">
        <v>638</v>
      </c>
      <c r="U126" s="5">
        <v>671</v>
      </c>
      <c r="V126" s="5">
        <v>499</v>
      </c>
      <c r="W126" s="5">
        <v>445</v>
      </c>
      <c r="X126" s="5">
        <f>95+37+2+27+6+86+114+51</f>
        <v>418</v>
      </c>
      <c r="Y126" s="5">
        <f>68+1+2+31+65+94+43</f>
        <v>304</v>
      </c>
      <c r="Z126" s="5">
        <f>54+5+6+7+77+81+53</f>
        <v>283</v>
      </c>
      <c r="AA126" s="5">
        <v>298</v>
      </c>
      <c r="AB126" s="5">
        <v>328</v>
      </c>
      <c r="AC126" s="5">
        <v>324</v>
      </c>
      <c r="AD126" s="5">
        <f>90+21+5+122+96+37</f>
        <v>371</v>
      </c>
      <c r="AE126" s="5">
        <v>392</v>
      </c>
      <c r="AF126" s="5">
        <v>378</v>
      </c>
      <c r="AG126" s="5">
        <v>383</v>
      </c>
      <c r="AH126" s="5">
        <v>405</v>
      </c>
      <c r="AI126" s="5">
        <v>394</v>
      </c>
      <c r="AJ126" s="5">
        <v>418</v>
      </c>
      <c r="AK126" s="5">
        <v>371</v>
      </c>
      <c r="AL126" s="5">
        <v>393</v>
      </c>
      <c r="AM126" s="5">
        <v>363</v>
      </c>
      <c r="AN126" s="5">
        <v>323</v>
      </c>
      <c r="AO126" s="5">
        <v>365</v>
      </c>
      <c r="AP126" s="5">
        <v>364</v>
      </c>
      <c r="AQ126" s="5">
        <v>376</v>
      </c>
      <c r="AR126" s="5">
        <v>369</v>
      </c>
      <c r="AS126" s="5">
        <v>368</v>
      </c>
      <c r="AT126" s="5">
        <v>365</v>
      </c>
      <c r="AU126" s="5"/>
      <c r="AV126" s="8">
        <f t="shared" si="79"/>
        <v>367.33333333333331</v>
      </c>
      <c r="AW126" s="8">
        <f t="shared" si="80"/>
        <v>368.4</v>
      </c>
      <c r="AX126" s="8">
        <f t="shared" si="81"/>
        <v>365.7</v>
      </c>
      <c r="AY126" s="8"/>
      <c r="AZ126" s="47">
        <f t="shared" si="82"/>
        <v>-1.9141372709871169E-3</v>
      </c>
      <c r="BA126" s="15"/>
    </row>
    <row r="127" spans="2:53" ht="11.25" customHeight="1">
      <c r="B127" s="5"/>
      <c r="C127" s="5"/>
      <c r="D127" s="5" t="s">
        <v>62</v>
      </c>
      <c r="E127" s="5"/>
      <c r="F127" s="5"/>
      <c r="G127" s="5"/>
      <c r="H127" s="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>
        <v>1</v>
      </c>
      <c r="AK127" s="5">
        <v>0</v>
      </c>
      <c r="AL127" s="5">
        <v>0</v>
      </c>
      <c r="AM127" s="5">
        <v>2</v>
      </c>
      <c r="AN127" s="5">
        <v>1</v>
      </c>
      <c r="AO127" s="5">
        <v>0</v>
      </c>
      <c r="AP127" s="5">
        <v>1</v>
      </c>
      <c r="AQ127" s="5">
        <v>0</v>
      </c>
      <c r="AR127" s="5">
        <v>2</v>
      </c>
      <c r="AS127" s="5">
        <v>4</v>
      </c>
      <c r="AT127" s="5">
        <v>7</v>
      </c>
      <c r="AU127" s="5"/>
      <c r="AV127" s="8">
        <f>IF(SUM(AR127:AT127)&gt;=0,AVERAGE(AR127:AT127),"")</f>
        <v>4.333333333333333</v>
      </c>
      <c r="AW127" s="8">
        <f>IF(SUM(AP127:AT127)&gt;=0,AVERAGE(AP127:AT127),"")</f>
        <v>2.8</v>
      </c>
      <c r="AX127" s="8">
        <f t="shared" ref="AX127" si="83">IF(SUM(AK127:AT127)&gt;=0,AVERAGE(AK127:AT127),"")</f>
        <v>1.7</v>
      </c>
      <c r="AY127" s="8"/>
      <c r="AZ127" s="47">
        <f t="shared" ref="AZ127" si="84">(AT127-AX127)/AX127</f>
        <v>3.1176470588235294</v>
      </c>
      <c r="BA127" s="15"/>
    </row>
    <row r="128" spans="2:53" ht="11.25" customHeight="1">
      <c r="B128" s="5"/>
      <c r="C128" s="5"/>
      <c r="D128" s="5" t="s">
        <v>35</v>
      </c>
      <c r="E128" s="5">
        <v>46</v>
      </c>
      <c r="F128" s="5">
        <v>76</v>
      </c>
      <c r="G128" s="5">
        <v>73</v>
      </c>
      <c r="H128" s="5">
        <v>73</v>
      </c>
      <c r="I128" s="5">
        <v>70</v>
      </c>
      <c r="J128" s="5">
        <v>93</v>
      </c>
      <c r="K128" s="5">
        <v>61</v>
      </c>
      <c r="L128" s="5">
        <v>80</v>
      </c>
      <c r="M128" s="5">
        <v>77</v>
      </c>
      <c r="N128" s="5">
        <v>69</v>
      </c>
      <c r="O128" s="5">
        <v>65</v>
      </c>
      <c r="P128" s="5">
        <v>80</v>
      </c>
      <c r="Q128" s="5">
        <v>75</v>
      </c>
      <c r="R128" s="5">
        <v>69</v>
      </c>
      <c r="S128" s="5">
        <f>64+1</f>
        <v>65</v>
      </c>
      <c r="T128" s="5">
        <v>78</v>
      </c>
      <c r="U128" s="5">
        <v>73</v>
      </c>
      <c r="V128" s="5">
        <v>68</v>
      </c>
      <c r="W128" s="5">
        <v>53</v>
      </c>
      <c r="X128" s="5">
        <v>63</v>
      </c>
      <c r="Y128" s="5">
        <v>52</v>
      </c>
      <c r="Z128" s="5">
        <v>54</v>
      </c>
      <c r="AA128" s="5">
        <v>62</v>
      </c>
      <c r="AB128" s="5">
        <v>64</v>
      </c>
      <c r="AC128" s="5">
        <v>77</v>
      </c>
      <c r="AD128" s="5">
        <f>3+4+5+75</f>
        <v>87</v>
      </c>
      <c r="AE128" s="5">
        <v>80</v>
      </c>
      <c r="AF128" s="5">
        <v>116</v>
      </c>
      <c r="AG128" s="5">
        <v>111</v>
      </c>
      <c r="AH128" s="5">
        <v>135</v>
      </c>
      <c r="AI128" s="5">
        <v>127</v>
      </c>
      <c r="AJ128" s="5">
        <v>168</v>
      </c>
      <c r="AK128" s="5">
        <v>121</v>
      </c>
      <c r="AL128" s="5">
        <v>121</v>
      </c>
      <c r="AM128" s="5">
        <v>147</v>
      </c>
      <c r="AN128" s="5">
        <v>136</v>
      </c>
      <c r="AO128" s="5">
        <v>145</v>
      </c>
      <c r="AP128" s="5">
        <v>121</v>
      </c>
      <c r="AQ128" s="5">
        <v>136</v>
      </c>
      <c r="AR128" s="5">
        <v>170</v>
      </c>
      <c r="AS128" s="5">
        <v>159</v>
      </c>
      <c r="AT128" s="5">
        <v>162</v>
      </c>
      <c r="AU128" s="5"/>
      <c r="AV128" s="8">
        <f t="shared" si="79"/>
        <v>163.66666666666666</v>
      </c>
      <c r="AW128" s="8">
        <f t="shared" si="80"/>
        <v>149.6</v>
      </c>
      <c r="AX128" s="8">
        <f t="shared" si="81"/>
        <v>141.80000000000001</v>
      </c>
      <c r="AY128" s="8"/>
      <c r="AZ128" s="47">
        <f t="shared" si="82"/>
        <v>0.14245416078984477</v>
      </c>
      <c r="BA128" s="15"/>
    </row>
    <row r="129" spans="2:53" ht="11.25" customHeight="1">
      <c r="B129" s="5"/>
      <c r="C129" s="5"/>
      <c r="D129" s="5" t="s">
        <v>187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1</v>
      </c>
      <c r="AI129" s="5">
        <v>1</v>
      </c>
      <c r="AJ129" s="5">
        <v>0</v>
      </c>
      <c r="AK129" s="5">
        <v>2</v>
      </c>
      <c r="AL129" s="5">
        <v>1</v>
      </c>
      <c r="AM129" s="5">
        <v>2</v>
      </c>
      <c r="AN129" s="5">
        <v>0</v>
      </c>
      <c r="AO129" s="5">
        <v>0</v>
      </c>
      <c r="AP129" s="5">
        <v>8</v>
      </c>
      <c r="AQ129" s="5">
        <v>3</v>
      </c>
      <c r="AR129" s="5">
        <v>1</v>
      </c>
      <c r="AS129" s="5">
        <v>1</v>
      </c>
      <c r="AT129" s="5">
        <v>3</v>
      </c>
      <c r="AU129" s="5"/>
      <c r="AV129" s="8">
        <f t="shared" si="79"/>
        <v>1.6666666666666667</v>
      </c>
      <c r="AW129" s="8">
        <f t="shared" si="80"/>
        <v>3.2</v>
      </c>
      <c r="AX129" s="8">
        <f t="shared" si="81"/>
        <v>2.1</v>
      </c>
      <c r="AY129" s="8"/>
      <c r="AZ129" s="47">
        <f t="shared" si="82"/>
        <v>0.42857142857142849</v>
      </c>
      <c r="BA129" s="15"/>
    </row>
    <row r="130" spans="2:53" ht="11.25" customHeight="1">
      <c r="B130" s="5"/>
      <c r="C130" s="5" t="s">
        <v>346</v>
      </c>
      <c r="D130" s="5" t="s">
        <v>357</v>
      </c>
      <c r="E130" s="5"/>
      <c r="F130" s="5"/>
      <c r="G130" s="5"/>
      <c r="H130" s="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>
        <v>0</v>
      </c>
      <c r="AO130" s="5">
        <v>7</v>
      </c>
      <c r="AP130" s="5">
        <v>6</v>
      </c>
      <c r="AQ130" s="5">
        <v>10</v>
      </c>
      <c r="AR130" s="5">
        <v>13</v>
      </c>
      <c r="AS130" s="5">
        <v>20</v>
      </c>
      <c r="AT130" s="5">
        <v>11</v>
      </c>
      <c r="AU130" s="5"/>
      <c r="AV130" s="8">
        <f>IF(SUM(AR130:AT130)&gt;=0,AVERAGE(AR130:AT130),"")</f>
        <v>14.666666666666666</v>
      </c>
      <c r="AW130" s="8">
        <f>IF(SUM(AP130:AT130)&gt;=0,AVERAGE(AP130:AT130),"")</f>
        <v>12</v>
      </c>
      <c r="AX130" s="6" t="s">
        <v>125</v>
      </c>
      <c r="AY130" s="15"/>
      <c r="AZ130" s="15"/>
      <c r="BA130" s="15"/>
    </row>
    <row r="131" spans="2:53" ht="11.25" customHeight="1">
      <c r="B131" s="5"/>
      <c r="C131" s="5" t="s">
        <v>347</v>
      </c>
      <c r="D131" s="5" t="s">
        <v>345</v>
      </c>
      <c r="E131" s="5"/>
      <c r="F131" s="5"/>
      <c r="G131" s="5"/>
      <c r="H131" s="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>
        <v>3</v>
      </c>
      <c r="AQ131" s="5">
        <v>7</v>
      </c>
      <c r="AR131" s="5">
        <v>11</v>
      </c>
      <c r="AS131" s="5">
        <v>7</v>
      </c>
      <c r="AT131" s="5">
        <v>3</v>
      </c>
      <c r="AU131" s="5"/>
      <c r="AV131" s="8">
        <f>IF(SUM(AR131:AT131)&gt;=0,AVERAGE(AR131:AT131),"")</f>
        <v>7</v>
      </c>
      <c r="AW131" s="8">
        <f>IF(SUM(AP131:AT131)&gt;=0,AVERAGE(AP131:AT131),"")</f>
        <v>6.2</v>
      </c>
      <c r="AX131" s="6" t="s">
        <v>125</v>
      </c>
      <c r="AY131" s="15"/>
      <c r="AZ131" s="15"/>
      <c r="BA131" s="15"/>
    </row>
    <row r="132" spans="2:53" ht="11.25" customHeight="1">
      <c r="B132" s="5"/>
      <c r="C132" s="5" t="s">
        <v>353</v>
      </c>
      <c r="D132" s="5" t="s">
        <v>134</v>
      </c>
      <c r="E132" s="5"/>
      <c r="F132" s="5"/>
      <c r="G132" s="5"/>
      <c r="H132" s="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>
        <v>2</v>
      </c>
      <c r="AK132" s="5">
        <v>3</v>
      </c>
      <c r="AL132" s="5">
        <v>5</v>
      </c>
      <c r="AM132" s="5">
        <v>4</v>
      </c>
      <c r="AN132" s="5">
        <v>2</v>
      </c>
      <c r="AO132" s="5">
        <v>3</v>
      </c>
      <c r="AP132" s="5">
        <v>2</v>
      </c>
      <c r="AQ132" s="5">
        <v>3</v>
      </c>
      <c r="AR132" s="5">
        <v>5</v>
      </c>
      <c r="AS132" s="5">
        <v>2</v>
      </c>
      <c r="AT132" s="5">
        <v>0</v>
      </c>
      <c r="AU132" s="5"/>
      <c r="AV132" s="8">
        <f>IF(SUM(AR132:AT132)&gt;=0,AVERAGE(AR132:AT132),"")</f>
        <v>2.3333333333333335</v>
      </c>
      <c r="AW132" s="8">
        <f>IF(SUM(AP132:AT132)&gt;=0,AVERAGE(AP132:AT132),"")</f>
        <v>2.4</v>
      </c>
      <c r="AX132" s="8">
        <f>IF(SUM(AK132:AT132)&gt;=0,AVERAGE(AK132:AT132),"")</f>
        <v>2.9</v>
      </c>
      <c r="AY132" s="8"/>
      <c r="AZ132" s="47">
        <f>(AT132-AX132)/AX132</f>
        <v>-1</v>
      </c>
      <c r="BA132" s="15"/>
    </row>
    <row r="133" spans="2:53" ht="11.25" customHeight="1">
      <c r="B133" s="5"/>
      <c r="C133" s="5" t="s">
        <v>328</v>
      </c>
      <c r="D133" s="5" t="s">
        <v>183</v>
      </c>
      <c r="E133" s="5"/>
      <c r="F133" s="5"/>
      <c r="G133" s="5"/>
      <c r="H133" s="5"/>
      <c r="I133" s="46" t="s">
        <v>124</v>
      </c>
      <c r="J133" s="46" t="s">
        <v>124</v>
      </c>
      <c r="K133" s="46" t="s">
        <v>124</v>
      </c>
      <c r="L133" s="46" t="s">
        <v>124</v>
      </c>
      <c r="M133" s="46" t="s">
        <v>124</v>
      </c>
      <c r="N133" s="46" t="s">
        <v>124</v>
      </c>
      <c r="O133" s="46" t="s">
        <v>124</v>
      </c>
      <c r="P133" s="46" t="s">
        <v>124</v>
      </c>
      <c r="Q133" s="46" t="s">
        <v>124</v>
      </c>
      <c r="R133" s="46" t="s">
        <v>124</v>
      </c>
      <c r="S133" s="46" t="s">
        <v>124</v>
      </c>
      <c r="T133" s="46" t="s">
        <v>124</v>
      </c>
      <c r="U133" s="46" t="s">
        <v>124</v>
      </c>
      <c r="V133" s="46" t="s">
        <v>124</v>
      </c>
      <c r="W133" s="46"/>
      <c r="X133" s="46"/>
      <c r="Y133" s="46"/>
      <c r="Z133" s="5">
        <v>35</v>
      </c>
      <c r="AA133" s="5">
        <v>91</v>
      </c>
      <c r="AB133" s="5">
        <v>92</v>
      </c>
      <c r="AC133" s="5">
        <v>140</v>
      </c>
      <c r="AD133" s="5">
        <v>101</v>
      </c>
      <c r="AE133" s="5">
        <v>110</v>
      </c>
      <c r="AF133" s="5">
        <v>51</v>
      </c>
      <c r="AG133" s="5">
        <v>57</v>
      </c>
      <c r="AH133" s="5">
        <v>41</v>
      </c>
      <c r="AI133" s="5">
        <v>52</v>
      </c>
      <c r="AJ133" s="5">
        <v>38</v>
      </c>
      <c r="AK133" s="5">
        <v>42</v>
      </c>
      <c r="AL133" s="5">
        <v>54</v>
      </c>
      <c r="AM133" s="5">
        <v>42</v>
      </c>
      <c r="AN133" s="5">
        <v>41</v>
      </c>
      <c r="AO133" s="5">
        <v>35</v>
      </c>
      <c r="AP133" s="5">
        <v>51</v>
      </c>
      <c r="AQ133" s="5">
        <v>52</v>
      </c>
      <c r="AR133" s="5">
        <v>49</v>
      </c>
      <c r="AS133" s="5">
        <v>57</v>
      </c>
      <c r="AT133" s="5">
        <v>68</v>
      </c>
      <c r="AU133" s="5"/>
      <c r="AV133" s="8">
        <f t="shared" si="79"/>
        <v>58</v>
      </c>
      <c r="AW133" s="8">
        <f t="shared" si="80"/>
        <v>55.4</v>
      </c>
      <c r="AX133" s="8">
        <f t="shared" si="81"/>
        <v>49.1</v>
      </c>
      <c r="AY133" s="8"/>
      <c r="AZ133" s="47">
        <f t="shared" si="82"/>
        <v>0.38492871690427694</v>
      </c>
      <c r="BA133" s="15"/>
    </row>
    <row r="134" spans="2:53" ht="11.25" customHeight="1">
      <c r="B134" s="5"/>
      <c r="C134" s="36"/>
      <c r="D134" s="5" t="s">
        <v>8</v>
      </c>
      <c r="E134" s="5"/>
      <c r="F134" s="5"/>
      <c r="G134" s="5"/>
      <c r="H134" s="5"/>
      <c r="I134" s="5">
        <v>3</v>
      </c>
      <c r="J134" s="5">
        <v>3</v>
      </c>
      <c r="K134" s="5">
        <v>5</v>
      </c>
      <c r="L134" s="5">
        <v>8</v>
      </c>
      <c r="M134" s="5">
        <v>15</v>
      </c>
      <c r="N134" s="5">
        <v>9</v>
      </c>
      <c r="O134" s="5">
        <v>12</v>
      </c>
      <c r="P134" s="5">
        <v>18</v>
      </c>
      <c r="Q134" s="5">
        <v>11</v>
      </c>
      <c r="R134" s="5">
        <v>14</v>
      </c>
      <c r="S134" s="5">
        <v>12</v>
      </c>
      <c r="T134" s="5">
        <v>17</v>
      </c>
      <c r="U134" s="5">
        <v>18</v>
      </c>
      <c r="V134" s="5">
        <v>20</v>
      </c>
      <c r="W134" s="5">
        <v>19</v>
      </c>
      <c r="X134" s="5">
        <v>16</v>
      </c>
      <c r="Y134" s="5">
        <v>8</v>
      </c>
      <c r="Z134" s="5">
        <v>32</v>
      </c>
      <c r="AA134" s="5">
        <v>25</v>
      </c>
      <c r="AB134" s="5">
        <v>34</v>
      </c>
      <c r="AC134" s="5">
        <v>37</v>
      </c>
      <c r="AD134" s="5">
        <v>37</v>
      </c>
      <c r="AE134" s="5">
        <v>23</v>
      </c>
      <c r="AF134" s="5">
        <v>19</v>
      </c>
      <c r="AG134" s="5">
        <v>13</v>
      </c>
      <c r="AH134" s="5">
        <v>11</v>
      </c>
      <c r="AI134" s="5">
        <v>14</v>
      </c>
      <c r="AJ134" s="5">
        <v>17</v>
      </c>
      <c r="AK134" s="5">
        <v>5</v>
      </c>
      <c r="AL134" s="5">
        <v>10</v>
      </c>
      <c r="AM134" s="5">
        <v>11</v>
      </c>
      <c r="AN134" s="5">
        <v>10</v>
      </c>
      <c r="AO134" s="5">
        <v>10</v>
      </c>
      <c r="AP134" s="5">
        <v>14</v>
      </c>
      <c r="AQ134" s="5">
        <v>13</v>
      </c>
      <c r="AR134" s="5">
        <v>19</v>
      </c>
      <c r="AS134" s="5">
        <v>28</v>
      </c>
      <c r="AT134" s="5">
        <v>21</v>
      </c>
      <c r="AU134" s="5"/>
      <c r="AV134" s="8">
        <f t="shared" si="79"/>
        <v>22.666666666666668</v>
      </c>
      <c r="AW134" s="8">
        <f t="shared" si="80"/>
        <v>19</v>
      </c>
      <c r="AX134" s="8">
        <f t="shared" si="81"/>
        <v>14.1</v>
      </c>
      <c r="AY134" s="8"/>
      <c r="AZ134" s="47">
        <f t="shared" si="82"/>
        <v>0.48936170212765961</v>
      </c>
      <c r="BA134" s="15"/>
    </row>
    <row r="135" spans="2:53" ht="11.25" customHeight="1">
      <c r="B135" s="5"/>
      <c r="C135" s="36" t="s">
        <v>331</v>
      </c>
      <c r="D135" s="5" t="s">
        <v>343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>
        <v>2</v>
      </c>
      <c r="AU135" s="46"/>
      <c r="AV135" s="6" t="s">
        <v>125</v>
      </c>
      <c r="AW135" s="6" t="s">
        <v>125</v>
      </c>
      <c r="AX135" s="6" t="s">
        <v>125</v>
      </c>
      <c r="AY135" s="15"/>
      <c r="AZ135" s="15"/>
      <c r="BA135" s="15"/>
    </row>
    <row r="136" spans="2:53" ht="11.25" customHeight="1">
      <c r="B136" s="5"/>
      <c r="C136" s="36" t="s">
        <v>291</v>
      </c>
      <c r="D136" s="5" t="s">
        <v>309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>
        <v>0</v>
      </c>
      <c r="AR136" s="5">
        <v>1</v>
      </c>
      <c r="AS136" s="5">
        <v>0</v>
      </c>
      <c r="AT136" s="5">
        <v>0</v>
      </c>
      <c r="AU136" s="46"/>
      <c r="AV136" s="8">
        <f>IF(SUM(AR136:AT136)&gt;=0,AVERAGE(AR136:AT136),"")</f>
        <v>0.33333333333333331</v>
      </c>
      <c r="AW136" s="6" t="s">
        <v>125</v>
      </c>
      <c r="AX136" s="8">
        <f t="shared" ref="AX136" si="85">IF(SUM(AJ136:AS136)&gt;=0,AVERAGE(AJ136:AS136),"")</f>
        <v>0.33333333333333331</v>
      </c>
      <c r="AY136" s="8"/>
      <c r="AZ136" s="47">
        <f t="shared" ref="AZ136" si="86">(AS136-AX136)/AX136</f>
        <v>-1</v>
      </c>
      <c r="BA136" s="15"/>
    </row>
    <row r="137" spans="2:53" ht="11.25" customHeight="1">
      <c r="B137" s="5"/>
      <c r="C137" s="5" t="s">
        <v>348</v>
      </c>
      <c r="D137" s="5" t="s">
        <v>184</v>
      </c>
      <c r="E137" s="5"/>
      <c r="F137" s="5"/>
      <c r="G137" s="5"/>
      <c r="H137" s="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>
        <v>7</v>
      </c>
      <c r="AK137" s="5">
        <v>8</v>
      </c>
      <c r="AL137" s="5">
        <v>8</v>
      </c>
      <c r="AM137" s="5">
        <v>11</v>
      </c>
      <c r="AN137" s="5">
        <v>4</v>
      </c>
      <c r="AO137" s="5">
        <v>6</v>
      </c>
      <c r="AP137" s="5">
        <v>8</v>
      </c>
      <c r="AQ137" s="5">
        <v>9</v>
      </c>
      <c r="AR137" s="5">
        <v>3</v>
      </c>
      <c r="AS137" s="5">
        <v>4</v>
      </c>
      <c r="AT137" s="5">
        <v>3</v>
      </c>
      <c r="AU137" s="5"/>
      <c r="AV137" s="8">
        <f t="shared" ref="AV137:AV138" si="87">IF(SUM(AR137:AT137)&gt;=0,AVERAGE(AR137:AT137),"")</f>
        <v>3.3333333333333335</v>
      </c>
      <c r="AW137" s="8">
        <f t="shared" ref="AW137:AW138" si="88">IF(SUM(AP137:AT137)&gt;=0,AVERAGE(AP137:AT137),"")</f>
        <v>5.4</v>
      </c>
      <c r="AX137" s="8">
        <f t="shared" ref="AX137" si="89">IF(SUM(AK137:AT137)&gt;=0,AVERAGE(AK137:AT137),"")</f>
        <v>6.4</v>
      </c>
      <c r="AY137" s="8"/>
      <c r="AZ137" s="47">
        <f t="shared" ref="AZ137:AZ138" si="90">(AT137-AX137)/AX137</f>
        <v>-0.53125</v>
      </c>
      <c r="BA137" s="15"/>
    </row>
    <row r="138" spans="2:53" ht="11.25" customHeight="1">
      <c r="B138" s="5"/>
      <c r="C138" s="5" t="s">
        <v>354</v>
      </c>
      <c r="D138" s="5" t="s">
        <v>62</v>
      </c>
      <c r="E138" s="5"/>
      <c r="F138" s="5"/>
      <c r="G138" s="5"/>
      <c r="H138" s="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>
        <v>2</v>
      </c>
      <c r="AK138" s="5">
        <v>0</v>
      </c>
      <c r="AL138" s="5">
        <v>0</v>
      </c>
      <c r="AM138" s="5">
        <v>2</v>
      </c>
      <c r="AN138" s="5">
        <v>0</v>
      </c>
      <c r="AO138" s="5">
        <v>0</v>
      </c>
      <c r="AP138" s="5">
        <v>0</v>
      </c>
      <c r="AQ138" s="5">
        <v>0</v>
      </c>
      <c r="AR138" s="5">
        <v>1</v>
      </c>
      <c r="AS138" s="5">
        <v>1</v>
      </c>
      <c r="AT138" s="5">
        <v>0</v>
      </c>
      <c r="AU138" s="5"/>
      <c r="AV138" s="8">
        <f t="shared" si="87"/>
        <v>0.66666666666666663</v>
      </c>
      <c r="AW138" s="8">
        <f t="shared" si="88"/>
        <v>0.4</v>
      </c>
      <c r="AX138" s="8">
        <f>IF(SUM(AK138:AT138)&gt;=0,AVERAGE(AK138:AT138),"")</f>
        <v>0.4</v>
      </c>
      <c r="AY138" s="8"/>
      <c r="AZ138" s="47">
        <f t="shared" si="90"/>
        <v>-1</v>
      </c>
      <c r="BA138" s="15"/>
    </row>
    <row r="139" spans="2:53" ht="11.25" hidden="1" customHeight="1">
      <c r="B139" s="5"/>
      <c r="C139" s="5" t="s">
        <v>158</v>
      </c>
      <c r="D139" s="5" t="s">
        <v>134</v>
      </c>
      <c r="E139" s="5"/>
      <c r="F139" s="5"/>
      <c r="G139" s="5"/>
      <c r="H139" s="5"/>
      <c r="I139" s="46" t="s">
        <v>124</v>
      </c>
      <c r="J139" s="46" t="s">
        <v>124</v>
      </c>
      <c r="K139" s="46" t="s">
        <v>124</v>
      </c>
      <c r="L139" s="46" t="s">
        <v>124</v>
      </c>
      <c r="M139" s="46" t="s">
        <v>124</v>
      </c>
      <c r="N139" s="46" t="s">
        <v>124</v>
      </c>
      <c r="O139" s="46" t="s">
        <v>124</v>
      </c>
      <c r="P139" s="46" t="s">
        <v>124</v>
      </c>
      <c r="Q139" s="46" t="s">
        <v>124</v>
      </c>
      <c r="R139" s="46" t="s">
        <v>124</v>
      </c>
      <c r="S139" s="46" t="s">
        <v>124</v>
      </c>
      <c r="T139" s="46" t="s">
        <v>124</v>
      </c>
      <c r="U139" s="46" t="s">
        <v>124</v>
      </c>
      <c r="V139" s="46" t="s">
        <v>124</v>
      </c>
      <c r="W139" s="5">
        <v>0</v>
      </c>
      <c r="X139" s="5">
        <f>2+1+1</f>
        <v>4</v>
      </c>
      <c r="Y139" s="5">
        <f>1+1</f>
        <v>2</v>
      </c>
      <c r="Z139" s="5">
        <v>3</v>
      </c>
      <c r="AA139" s="5">
        <f>7+1+2+5+2</f>
        <v>17</v>
      </c>
      <c r="AB139" s="5">
        <f>11+2+9+1</f>
        <v>23</v>
      </c>
      <c r="AC139" s="5">
        <v>30</v>
      </c>
      <c r="AD139" s="5">
        <v>46</v>
      </c>
      <c r="AE139" s="5">
        <v>17</v>
      </c>
      <c r="AF139" s="5">
        <v>21</v>
      </c>
      <c r="AG139" s="5">
        <v>16</v>
      </c>
      <c r="AH139" s="5">
        <v>16</v>
      </c>
      <c r="AI139" s="5">
        <v>18</v>
      </c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8" t="e">
        <f>IF(SUM(AR139:AT139)&gt;=0,AVERAGE(AR139:AT139),"")</f>
        <v>#DIV/0!</v>
      </c>
      <c r="AW139" s="8" t="e">
        <f>IF(SUM(AP139:AT139)&gt;=0,AVERAGE(AP139:AT139),"")</f>
        <v>#DIV/0!</v>
      </c>
      <c r="AX139" s="8" t="e">
        <f t="shared" ref="AX139" si="91">IF(SUM(AK139:AT139)&gt;=0,AVERAGE(AK139:AT139),"")</f>
        <v>#DIV/0!</v>
      </c>
      <c r="AY139" s="8"/>
      <c r="AZ139" s="47" t="e">
        <f t="shared" ref="AZ139" si="92">(AT139-AX139)/AX139</f>
        <v>#DIV/0!</v>
      </c>
      <c r="BA139" s="15"/>
    </row>
    <row r="140" spans="2:53" ht="11.2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0"/>
      <c r="AW140" s="10"/>
      <c r="AX140" s="10"/>
      <c r="AY140" s="15"/>
      <c r="AZ140" s="15"/>
      <c r="BA140" s="15"/>
    </row>
    <row r="141" spans="2:53" ht="11.25" customHeight="1">
      <c r="B141" s="5" t="s">
        <v>58</v>
      </c>
      <c r="C141" s="5"/>
      <c r="D141" s="49" t="s">
        <v>189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>
        <f>AQ136</f>
        <v>0</v>
      </c>
      <c r="AR141" s="5">
        <f>AR136</f>
        <v>1</v>
      </c>
      <c r="AS141" s="5">
        <f>AS136</f>
        <v>0</v>
      </c>
      <c r="AT141" s="5">
        <f>AT135+AT136</f>
        <v>2</v>
      </c>
      <c r="AU141" s="46"/>
      <c r="AV141" s="8">
        <f t="shared" ref="AV141:AV145" si="93">IF(SUM(AR141:AT141)&gt;=0,AVERAGE(AR141:AT141),"")</f>
        <v>1</v>
      </c>
      <c r="AW141" s="6" t="s">
        <v>125</v>
      </c>
      <c r="AX141" s="6" t="s">
        <v>125</v>
      </c>
      <c r="AY141" s="15"/>
      <c r="AZ141" s="15"/>
      <c r="BA141" s="15"/>
    </row>
    <row r="142" spans="2:53" ht="11.25" customHeight="1">
      <c r="B142" s="15"/>
      <c r="C142" s="5"/>
      <c r="D142" s="49" t="s">
        <v>2</v>
      </c>
      <c r="E142" s="5">
        <f>+E124+E126</f>
        <v>616</v>
      </c>
      <c r="F142" s="5">
        <f t="shared" ref="F142:AT142" si="94">+F124+F126+F133</f>
        <v>558</v>
      </c>
      <c r="G142" s="5">
        <f t="shared" si="94"/>
        <v>592</v>
      </c>
      <c r="H142" s="5">
        <f t="shared" si="94"/>
        <v>585</v>
      </c>
      <c r="I142" s="50">
        <f t="shared" si="94"/>
        <v>603</v>
      </c>
      <c r="J142" s="50">
        <f t="shared" si="94"/>
        <v>615</v>
      </c>
      <c r="K142" s="50">
        <f t="shared" si="94"/>
        <v>572</v>
      </c>
      <c r="L142" s="50">
        <f t="shared" si="94"/>
        <v>570</v>
      </c>
      <c r="M142" s="50">
        <f t="shared" si="94"/>
        <v>623</v>
      </c>
      <c r="N142" s="50">
        <f t="shared" si="94"/>
        <v>624</v>
      </c>
      <c r="O142" s="50">
        <f t="shared" si="94"/>
        <v>644</v>
      </c>
      <c r="P142" s="50">
        <f t="shared" si="94"/>
        <v>711</v>
      </c>
      <c r="Q142" s="50">
        <f t="shared" si="94"/>
        <v>750</v>
      </c>
      <c r="R142" s="50">
        <f t="shared" si="94"/>
        <v>673</v>
      </c>
      <c r="S142" s="50">
        <f t="shared" si="94"/>
        <v>664</v>
      </c>
      <c r="T142" s="50">
        <f t="shared" si="94"/>
        <v>638</v>
      </c>
      <c r="U142" s="50">
        <f t="shared" si="94"/>
        <v>671</v>
      </c>
      <c r="V142" s="50">
        <f t="shared" si="94"/>
        <v>499</v>
      </c>
      <c r="W142" s="50">
        <f t="shared" si="94"/>
        <v>445</v>
      </c>
      <c r="X142" s="50">
        <f t="shared" si="94"/>
        <v>418</v>
      </c>
      <c r="Y142" s="50">
        <f t="shared" si="94"/>
        <v>403</v>
      </c>
      <c r="Z142" s="50">
        <f t="shared" si="94"/>
        <v>450</v>
      </c>
      <c r="AA142" s="50">
        <f t="shared" si="94"/>
        <v>470</v>
      </c>
      <c r="AB142" s="50">
        <f t="shared" si="94"/>
        <v>499</v>
      </c>
      <c r="AC142" s="50">
        <f t="shared" si="94"/>
        <v>547</v>
      </c>
      <c r="AD142" s="50">
        <f t="shared" si="94"/>
        <v>566</v>
      </c>
      <c r="AE142" s="50">
        <f t="shared" si="94"/>
        <v>612</v>
      </c>
      <c r="AF142" s="50">
        <f t="shared" si="94"/>
        <v>532</v>
      </c>
      <c r="AG142" s="50">
        <f t="shared" si="94"/>
        <v>542</v>
      </c>
      <c r="AH142" s="50">
        <f t="shared" si="94"/>
        <v>579</v>
      </c>
      <c r="AI142" s="50">
        <f t="shared" si="94"/>
        <v>598</v>
      </c>
      <c r="AJ142" s="50">
        <f t="shared" si="94"/>
        <v>573</v>
      </c>
      <c r="AK142" s="50">
        <f t="shared" si="94"/>
        <v>545</v>
      </c>
      <c r="AL142" s="50">
        <f t="shared" si="94"/>
        <v>579</v>
      </c>
      <c r="AM142" s="50">
        <f t="shared" si="94"/>
        <v>505</v>
      </c>
      <c r="AN142" s="50">
        <f t="shared" si="94"/>
        <v>440</v>
      </c>
      <c r="AO142" s="50">
        <f t="shared" si="94"/>
        <v>507</v>
      </c>
      <c r="AP142" s="50">
        <f t="shared" si="94"/>
        <v>516</v>
      </c>
      <c r="AQ142" s="50">
        <f t="shared" si="94"/>
        <v>524</v>
      </c>
      <c r="AR142" s="50">
        <f t="shared" si="94"/>
        <v>523</v>
      </c>
      <c r="AS142" s="50">
        <f t="shared" si="94"/>
        <v>534</v>
      </c>
      <c r="AT142" s="50">
        <f t="shared" si="94"/>
        <v>533</v>
      </c>
      <c r="AU142" s="50"/>
      <c r="AV142" s="8">
        <f t="shared" si="93"/>
        <v>530</v>
      </c>
      <c r="AW142" s="8">
        <f t="shared" ref="AW142:AW145" si="95">IF(SUM(AP142:AT142)&gt;=0,AVERAGE(AP142:AT142),"")</f>
        <v>526</v>
      </c>
      <c r="AX142" s="8">
        <f t="shared" ref="AX142:AX145" si="96">IF(SUM(AK142:AT142)&gt;=0,AVERAGE(AK142:AT142),"")</f>
        <v>520.6</v>
      </c>
      <c r="AY142" s="8"/>
      <c r="AZ142" s="47">
        <f t="shared" ref="AZ142:AZ145" si="97">(AT142-AX142)/AX142</f>
        <v>2.3818670764502451E-2</v>
      </c>
      <c r="BA142" s="15"/>
    </row>
    <row r="143" spans="2:53" ht="11.25" customHeight="1">
      <c r="B143" s="5"/>
      <c r="C143" s="5"/>
      <c r="D143" s="49" t="s">
        <v>121</v>
      </c>
      <c r="E143" s="5"/>
      <c r="F143" s="5" t="s">
        <v>68</v>
      </c>
      <c r="G143" s="5"/>
      <c r="H143" s="5"/>
      <c r="I143" s="46" t="s">
        <v>124</v>
      </c>
      <c r="J143" s="46" t="s">
        <v>124</v>
      </c>
      <c r="K143" s="46" t="s">
        <v>124</v>
      </c>
      <c r="L143" s="46" t="s">
        <v>124</v>
      </c>
      <c r="M143" s="46" t="s">
        <v>124</v>
      </c>
      <c r="N143" s="46" t="s">
        <v>124</v>
      </c>
      <c r="O143" s="46" t="s">
        <v>124</v>
      </c>
      <c r="P143" s="46" t="s">
        <v>124</v>
      </c>
      <c r="Q143" s="46" t="s">
        <v>124</v>
      </c>
      <c r="R143" s="46" t="s">
        <v>124</v>
      </c>
      <c r="S143" s="46" t="s">
        <v>124</v>
      </c>
      <c r="T143" s="46" t="s">
        <v>124</v>
      </c>
      <c r="U143" s="46" t="s">
        <v>124</v>
      </c>
      <c r="V143" s="46" t="s">
        <v>124</v>
      </c>
      <c r="W143" s="50">
        <f t="shared" ref="W143:AI143" si="98">W139</f>
        <v>0</v>
      </c>
      <c r="X143" s="50">
        <f t="shared" si="98"/>
        <v>4</v>
      </c>
      <c r="Y143" s="50">
        <f t="shared" si="98"/>
        <v>2</v>
      </c>
      <c r="Z143" s="50">
        <f t="shared" si="98"/>
        <v>3</v>
      </c>
      <c r="AA143" s="50">
        <f t="shared" si="98"/>
        <v>17</v>
      </c>
      <c r="AB143" s="50">
        <f t="shared" si="98"/>
        <v>23</v>
      </c>
      <c r="AC143" s="50">
        <f t="shared" si="98"/>
        <v>30</v>
      </c>
      <c r="AD143" s="50">
        <f t="shared" si="98"/>
        <v>46</v>
      </c>
      <c r="AE143" s="50">
        <f t="shared" si="98"/>
        <v>17</v>
      </c>
      <c r="AF143" s="50">
        <f t="shared" si="98"/>
        <v>21</v>
      </c>
      <c r="AG143" s="50">
        <f t="shared" si="98"/>
        <v>16</v>
      </c>
      <c r="AH143" s="50">
        <f t="shared" si="98"/>
        <v>16</v>
      </c>
      <c r="AI143" s="50">
        <f t="shared" si="98"/>
        <v>18</v>
      </c>
      <c r="AJ143" s="50">
        <f>AJ127+AJ132+AJ137+AJ138</f>
        <v>12</v>
      </c>
      <c r="AK143" s="50">
        <f t="shared" ref="AK143:AL143" si="99">AK127+AK132+AK137+AK138</f>
        <v>11</v>
      </c>
      <c r="AL143" s="50">
        <f t="shared" si="99"/>
        <v>13</v>
      </c>
      <c r="AM143" s="50">
        <f>AM127+AM132+AM137+AM138</f>
        <v>19</v>
      </c>
      <c r="AN143" s="50">
        <f>AN127+AN130+AN132+AN137+AN138</f>
        <v>7</v>
      </c>
      <c r="AO143" s="50">
        <f>AO127+AO130+AO132+AO137+AO138</f>
        <v>16</v>
      </c>
      <c r="AP143" s="50">
        <f t="shared" ref="AP143:AS143" si="100">AP127+AP130+AP131+AP132+AP137+AP138</f>
        <v>20</v>
      </c>
      <c r="AQ143" s="50">
        <f t="shared" si="100"/>
        <v>29</v>
      </c>
      <c r="AR143" s="50">
        <f t="shared" si="100"/>
        <v>35</v>
      </c>
      <c r="AS143" s="50">
        <f t="shared" si="100"/>
        <v>38</v>
      </c>
      <c r="AT143" s="50">
        <f>AT127+AT130+AT131+AT132+AT137+AT138</f>
        <v>24</v>
      </c>
      <c r="AU143" s="50"/>
      <c r="AV143" s="8">
        <f t="shared" si="93"/>
        <v>32.333333333333336</v>
      </c>
      <c r="AW143" s="8">
        <f>IF(SUM(AP143:AT143)&gt;=0,AVERAGE(AP143:AT143),"")</f>
        <v>29.2</v>
      </c>
      <c r="AX143" s="8">
        <f>IF(SUM(AK143:AT143)&gt;=0,AVERAGE(AK143:AT143),"")</f>
        <v>21.2</v>
      </c>
      <c r="AY143" s="8"/>
      <c r="AZ143" s="47">
        <f t="shared" si="97"/>
        <v>0.13207547169811323</v>
      </c>
      <c r="BA143" s="15"/>
    </row>
    <row r="144" spans="2:53" ht="11.25" customHeight="1">
      <c r="B144" s="5"/>
      <c r="C144" s="5"/>
      <c r="D144" s="49" t="s">
        <v>3</v>
      </c>
      <c r="E144" s="5">
        <f>E134+E128+E125</f>
        <v>46</v>
      </c>
      <c r="F144" s="5">
        <f>F134+F128+F125</f>
        <v>76</v>
      </c>
      <c r="G144" s="5">
        <f>G134+G128+G125</f>
        <v>73</v>
      </c>
      <c r="H144" s="5">
        <f>H134+H128+H125</f>
        <v>73</v>
      </c>
      <c r="I144" s="50">
        <f t="shared" ref="I144:AT144" si="101">I125+I128+I134</f>
        <v>74</v>
      </c>
      <c r="J144" s="50">
        <f t="shared" si="101"/>
        <v>96</v>
      </c>
      <c r="K144" s="50">
        <f t="shared" si="101"/>
        <v>67</v>
      </c>
      <c r="L144" s="50">
        <f t="shared" si="101"/>
        <v>89</v>
      </c>
      <c r="M144" s="50">
        <f t="shared" si="101"/>
        <v>94</v>
      </c>
      <c r="N144" s="50">
        <f t="shared" si="101"/>
        <v>80</v>
      </c>
      <c r="O144" s="50">
        <f t="shared" si="101"/>
        <v>83</v>
      </c>
      <c r="P144" s="50">
        <f t="shared" si="101"/>
        <v>107</v>
      </c>
      <c r="Q144" s="50">
        <f t="shared" si="101"/>
        <v>93</v>
      </c>
      <c r="R144" s="50">
        <f t="shared" si="101"/>
        <v>102</v>
      </c>
      <c r="S144" s="50">
        <f t="shared" si="101"/>
        <v>97</v>
      </c>
      <c r="T144" s="50">
        <f t="shared" si="101"/>
        <v>111</v>
      </c>
      <c r="U144" s="50">
        <f t="shared" si="101"/>
        <v>111</v>
      </c>
      <c r="V144" s="50">
        <f t="shared" si="101"/>
        <v>106</v>
      </c>
      <c r="W144" s="50">
        <f t="shared" si="101"/>
        <v>89</v>
      </c>
      <c r="X144" s="50">
        <f t="shared" si="101"/>
        <v>88</v>
      </c>
      <c r="Y144" s="50">
        <f t="shared" si="101"/>
        <v>68</v>
      </c>
      <c r="Z144" s="50">
        <f t="shared" si="101"/>
        <v>92</v>
      </c>
      <c r="AA144" s="50">
        <f t="shared" si="101"/>
        <v>91</v>
      </c>
      <c r="AB144" s="50">
        <f t="shared" si="101"/>
        <v>100</v>
      </c>
      <c r="AC144" s="50">
        <f t="shared" si="101"/>
        <v>127</v>
      </c>
      <c r="AD144" s="50">
        <f t="shared" si="101"/>
        <v>135</v>
      </c>
      <c r="AE144" s="50">
        <f t="shared" si="101"/>
        <v>117</v>
      </c>
      <c r="AF144" s="50">
        <f t="shared" si="101"/>
        <v>145</v>
      </c>
      <c r="AG144" s="50">
        <f t="shared" si="101"/>
        <v>133</v>
      </c>
      <c r="AH144" s="50">
        <f t="shared" si="101"/>
        <v>163</v>
      </c>
      <c r="AI144" s="50">
        <f t="shared" si="101"/>
        <v>163</v>
      </c>
      <c r="AJ144" s="50">
        <f t="shared" si="101"/>
        <v>210</v>
      </c>
      <c r="AK144" s="50">
        <f t="shared" si="101"/>
        <v>162</v>
      </c>
      <c r="AL144" s="50">
        <f t="shared" si="101"/>
        <v>171</v>
      </c>
      <c r="AM144" s="50">
        <f t="shared" si="101"/>
        <v>204</v>
      </c>
      <c r="AN144" s="50">
        <f t="shared" si="101"/>
        <v>189</v>
      </c>
      <c r="AO144" s="50">
        <f t="shared" si="101"/>
        <v>185</v>
      </c>
      <c r="AP144" s="50">
        <f t="shared" si="101"/>
        <v>169</v>
      </c>
      <c r="AQ144" s="50">
        <f t="shared" si="101"/>
        <v>174</v>
      </c>
      <c r="AR144" s="50">
        <f t="shared" si="101"/>
        <v>226</v>
      </c>
      <c r="AS144" s="50">
        <f t="shared" si="101"/>
        <v>206</v>
      </c>
      <c r="AT144" s="50">
        <f t="shared" si="101"/>
        <v>218</v>
      </c>
      <c r="AU144" s="50"/>
      <c r="AV144" s="8">
        <f t="shared" si="93"/>
        <v>216.66666666666666</v>
      </c>
      <c r="AW144" s="8">
        <f t="shared" si="95"/>
        <v>198.6</v>
      </c>
      <c r="AX144" s="8">
        <f t="shared" si="96"/>
        <v>190.4</v>
      </c>
      <c r="AY144" s="8"/>
      <c r="AZ144" s="47">
        <f t="shared" si="97"/>
        <v>0.14495798319327727</v>
      </c>
      <c r="BA144" s="15"/>
    </row>
    <row r="145" spans="2:53" ht="11.25" customHeight="1">
      <c r="B145" s="5"/>
      <c r="C145" s="5"/>
      <c r="D145" s="49" t="s">
        <v>4</v>
      </c>
      <c r="E145" s="5"/>
      <c r="F145" s="5"/>
      <c r="G145" s="5"/>
      <c r="H145" s="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>
        <f t="shared" ref="AC145:AT145" si="102">AC129</f>
        <v>0</v>
      </c>
      <c r="AD145" s="50">
        <f t="shared" si="102"/>
        <v>0</v>
      </c>
      <c r="AE145" s="50">
        <f t="shared" si="102"/>
        <v>0</v>
      </c>
      <c r="AF145" s="50">
        <f t="shared" si="102"/>
        <v>0</v>
      </c>
      <c r="AG145" s="50">
        <f t="shared" si="102"/>
        <v>0</v>
      </c>
      <c r="AH145" s="50">
        <f t="shared" si="102"/>
        <v>1</v>
      </c>
      <c r="AI145" s="50">
        <f t="shared" si="102"/>
        <v>1</v>
      </c>
      <c r="AJ145" s="50">
        <f t="shared" si="102"/>
        <v>0</v>
      </c>
      <c r="AK145" s="50">
        <f t="shared" si="102"/>
        <v>2</v>
      </c>
      <c r="AL145" s="50">
        <f t="shared" si="102"/>
        <v>1</v>
      </c>
      <c r="AM145" s="50">
        <f t="shared" si="102"/>
        <v>2</v>
      </c>
      <c r="AN145" s="50">
        <f t="shared" si="102"/>
        <v>0</v>
      </c>
      <c r="AO145" s="50">
        <f t="shared" si="102"/>
        <v>0</v>
      </c>
      <c r="AP145" s="50">
        <f t="shared" si="102"/>
        <v>8</v>
      </c>
      <c r="AQ145" s="50">
        <f t="shared" si="102"/>
        <v>3</v>
      </c>
      <c r="AR145" s="50">
        <f t="shared" si="102"/>
        <v>1</v>
      </c>
      <c r="AS145" s="50">
        <f t="shared" si="102"/>
        <v>1</v>
      </c>
      <c r="AT145" s="50">
        <f t="shared" si="102"/>
        <v>3</v>
      </c>
      <c r="AU145" s="50"/>
      <c r="AV145" s="8">
        <f t="shared" si="93"/>
        <v>1.6666666666666667</v>
      </c>
      <c r="AW145" s="8">
        <f t="shared" si="95"/>
        <v>3.2</v>
      </c>
      <c r="AX145" s="8">
        <f t="shared" si="96"/>
        <v>2.1</v>
      </c>
      <c r="AY145" s="8"/>
      <c r="AZ145" s="47">
        <f t="shared" si="97"/>
        <v>0.42857142857142849</v>
      </c>
      <c r="BA145" s="15"/>
    </row>
    <row r="146" spans="2:53" ht="11.25" customHeight="1">
      <c r="B146" s="5"/>
      <c r="C146" s="5"/>
      <c r="D146" s="5"/>
      <c r="E146" s="5"/>
      <c r="F146" s="5"/>
      <c r="G146" s="5"/>
      <c r="H146" s="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0"/>
      <c r="AW146" s="10"/>
      <c r="AX146" s="10"/>
      <c r="AY146" s="15"/>
      <c r="AZ146" s="15"/>
      <c r="BA146" s="15"/>
    </row>
    <row r="147" spans="2:53" ht="11.25" customHeight="1">
      <c r="B147" s="5" t="s">
        <v>103</v>
      </c>
      <c r="C147" s="5"/>
      <c r="D147" s="5" t="s">
        <v>122</v>
      </c>
      <c r="E147" s="5">
        <f>SUM(E124:E134)</f>
        <v>662</v>
      </c>
      <c r="F147" s="5">
        <f>SUM(F124:F134)</f>
        <v>634</v>
      </c>
      <c r="G147" s="5">
        <f>SUM(G124:G134)</f>
        <v>665</v>
      </c>
      <c r="H147" s="5">
        <f>SUM(H124:H134)</f>
        <v>658</v>
      </c>
      <c r="I147" s="50">
        <f t="shared" ref="I147:AB147" si="103">SUM(I142:I144)</f>
        <v>677</v>
      </c>
      <c r="J147" s="50">
        <f t="shared" si="103"/>
        <v>711</v>
      </c>
      <c r="K147" s="50">
        <f t="shared" si="103"/>
        <v>639</v>
      </c>
      <c r="L147" s="50">
        <f t="shared" si="103"/>
        <v>659</v>
      </c>
      <c r="M147" s="50">
        <f t="shared" si="103"/>
        <v>717</v>
      </c>
      <c r="N147" s="50">
        <f t="shared" si="103"/>
        <v>704</v>
      </c>
      <c r="O147" s="50">
        <f t="shared" si="103"/>
        <v>727</v>
      </c>
      <c r="P147" s="50">
        <f t="shared" si="103"/>
        <v>818</v>
      </c>
      <c r="Q147" s="50">
        <f t="shared" si="103"/>
        <v>843</v>
      </c>
      <c r="R147" s="50">
        <f t="shared" si="103"/>
        <v>775</v>
      </c>
      <c r="S147" s="50">
        <f t="shared" si="103"/>
        <v>761</v>
      </c>
      <c r="T147" s="50">
        <f t="shared" si="103"/>
        <v>749</v>
      </c>
      <c r="U147" s="50">
        <f t="shared" si="103"/>
        <v>782</v>
      </c>
      <c r="V147" s="50">
        <f t="shared" si="103"/>
        <v>605</v>
      </c>
      <c r="W147" s="50">
        <f t="shared" si="103"/>
        <v>534</v>
      </c>
      <c r="X147" s="50">
        <f t="shared" si="103"/>
        <v>510</v>
      </c>
      <c r="Y147" s="50">
        <f t="shared" si="103"/>
        <v>473</v>
      </c>
      <c r="Z147" s="50">
        <f t="shared" si="103"/>
        <v>545</v>
      </c>
      <c r="AA147" s="50">
        <f t="shared" si="103"/>
        <v>578</v>
      </c>
      <c r="AB147" s="50">
        <f t="shared" si="103"/>
        <v>622</v>
      </c>
      <c r="AC147" s="50">
        <f t="shared" ref="AC147:AH147" si="104">SUM(AC142:AC145)</f>
        <v>704</v>
      </c>
      <c r="AD147" s="50">
        <f t="shared" si="104"/>
        <v>747</v>
      </c>
      <c r="AE147" s="50">
        <f t="shared" si="104"/>
        <v>746</v>
      </c>
      <c r="AF147" s="50">
        <f t="shared" si="104"/>
        <v>698</v>
      </c>
      <c r="AG147" s="50">
        <f t="shared" si="104"/>
        <v>691</v>
      </c>
      <c r="AH147" s="50">
        <f t="shared" si="104"/>
        <v>759</v>
      </c>
      <c r="AI147" s="50">
        <f t="shared" ref="AI147:AN147" si="105">SUM(AI142:AI145)</f>
        <v>780</v>
      </c>
      <c r="AJ147" s="50">
        <f t="shared" si="105"/>
        <v>795</v>
      </c>
      <c r="AK147" s="50">
        <f t="shared" si="105"/>
        <v>720</v>
      </c>
      <c r="AL147" s="50">
        <f t="shared" si="105"/>
        <v>764</v>
      </c>
      <c r="AM147" s="50">
        <f t="shared" si="105"/>
        <v>730</v>
      </c>
      <c r="AN147" s="50">
        <f t="shared" si="105"/>
        <v>636</v>
      </c>
      <c r="AO147" s="50">
        <f>SUM(AO142:AO145)</f>
        <v>708</v>
      </c>
      <c r="AP147" s="50">
        <f>SUM(AP142:AP145)</f>
        <v>713</v>
      </c>
      <c r="AQ147" s="50">
        <f>SUM(AQ141:AQ145)</f>
        <v>730</v>
      </c>
      <c r="AR147" s="50">
        <f>SUM(AR141:AR145)</f>
        <v>786</v>
      </c>
      <c r="AS147" s="50">
        <f>SUM(AS141:AS145)</f>
        <v>779</v>
      </c>
      <c r="AT147" s="50">
        <f>SUM(AT141:AT145)</f>
        <v>780</v>
      </c>
      <c r="AU147" s="50"/>
      <c r="AV147" s="8">
        <f t="shared" ref="AV147" si="106">IF(SUM(AR147:AT147)&gt;=0,AVERAGE(AR147:AT147),"")</f>
        <v>781.66666666666663</v>
      </c>
      <c r="AW147" s="8">
        <f>IF(SUM(AP147:AT147)&gt;=0,AVERAGE(AP147:AT147),"")</f>
        <v>757.6</v>
      </c>
      <c r="AX147" s="8">
        <f t="shared" ref="AX147" si="107">IF(SUM(AK147:AT147)&gt;=0,AVERAGE(AK147:AT147),"")</f>
        <v>734.6</v>
      </c>
      <c r="AY147" s="8"/>
      <c r="AZ147" s="47">
        <f t="shared" ref="AZ147" si="108">(AT147-AX147)/AX147</f>
        <v>6.1802341410291284E-2</v>
      </c>
      <c r="BA147" s="15"/>
    </row>
    <row r="148" spans="2:53" ht="11.2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6"/>
      <c r="AW148" s="6"/>
      <c r="AX148" s="6"/>
      <c r="AY148" s="15"/>
      <c r="AZ148" s="15"/>
      <c r="BA148" s="15"/>
    </row>
    <row r="149" spans="2:53" ht="11.25" customHeight="1">
      <c r="B149" s="5"/>
      <c r="C149" s="5"/>
      <c r="D149" s="5"/>
      <c r="E149" s="5"/>
      <c r="F149" s="5"/>
      <c r="G149" s="5"/>
      <c r="H149" s="5"/>
      <c r="I149" s="5" t="str">
        <f t="shared" ref="I149:T149" si="109">IF(I147=SUM(I142:I144),"","ERR")</f>
        <v/>
      </c>
      <c r="J149" s="5" t="str">
        <f t="shared" si="109"/>
        <v/>
      </c>
      <c r="K149" s="5" t="str">
        <f t="shared" si="109"/>
        <v/>
      </c>
      <c r="L149" s="5" t="str">
        <f t="shared" si="109"/>
        <v/>
      </c>
      <c r="M149" s="5" t="str">
        <f t="shared" si="109"/>
        <v/>
      </c>
      <c r="N149" s="5" t="str">
        <f t="shared" si="109"/>
        <v/>
      </c>
      <c r="O149" s="5" t="str">
        <f t="shared" si="109"/>
        <v/>
      </c>
      <c r="P149" s="5" t="str">
        <f t="shared" si="109"/>
        <v/>
      </c>
      <c r="Q149" s="5" t="str">
        <f t="shared" si="109"/>
        <v/>
      </c>
      <c r="R149" s="5" t="str">
        <f t="shared" si="109"/>
        <v/>
      </c>
      <c r="S149" s="5" t="str">
        <f t="shared" si="109"/>
        <v/>
      </c>
      <c r="T149" s="5" t="str">
        <f t="shared" si="109"/>
        <v/>
      </c>
      <c r="U149" s="5"/>
      <c r="V149" s="5"/>
      <c r="W149" s="5"/>
      <c r="X149" s="5"/>
      <c r="Y149" s="5"/>
      <c r="Z149" s="5"/>
      <c r="AA149" s="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0"/>
      <c r="AW149" s="10"/>
      <c r="AX149" s="10"/>
      <c r="AY149" s="15"/>
      <c r="AZ149" s="15"/>
      <c r="BA149" s="15"/>
    </row>
    <row r="150" spans="2:53" ht="21.75" customHeight="1">
      <c r="B150" s="20" t="s">
        <v>36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41"/>
      <c r="AZ150" s="41"/>
      <c r="BA150" s="41"/>
    </row>
    <row r="151" spans="2:53" ht="11.25" customHeight="1">
      <c r="B151" s="19"/>
      <c r="C151" s="1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0" t="str">
        <f>IF(AA151&gt;0,IF(AA151&gt;9,(AA151-Z151)/Z151,"&lt;10 cases"),"")</f>
        <v/>
      </c>
      <c r="AW151" s="10" t="str">
        <f>IF(AA151&gt;0,IF(AA151&gt;9,(AA151-(SUM(V151:Z151)/5))/AA151,"&lt;10 cases"),"")</f>
        <v/>
      </c>
      <c r="AX151" s="10" t="str">
        <f>IF(AA151&gt;0,IF(AA151&gt;9,(AA151-SUM(Q151:Z151)/10)/AA151,"&lt;10 cases"),"")</f>
        <v/>
      </c>
      <c r="AY151" s="15"/>
      <c r="AZ151" s="15"/>
      <c r="BA151" s="15"/>
    </row>
    <row r="152" spans="2:53" ht="11.25" customHeight="1">
      <c r="B152" s="5" t="s">
        <v>159</v>
      </c>
      <c r="C152" s="5" t="s">
        <v>76</v>
      </c>
      <c r="D152" s="5" t="s">
        <v>148</v>
      </c>
      <c r="E152" s="5">
        <v>0</v>
      </c>
      <c r="F152" s="5">
        <v>3</v>
      </c>
      <c r="G152" s="5">
        <v>1</v>
      </c>
      <c r="H152" s="5">
        <v>3</v>
      </c>
      <c r="I152" s="5">
        <v>2</v>
      </c>
      <c r="J152" s="5">
        <v>4</v>
      </c>
      <c r="K152" s="5">
        <v>4</v>
      </c>
      <c r="L152" s="5">
        <v>2</v>
      </c>
      <c r="M152" s="5">
        <v>5</v>
      </c>
      <c r="N152" s="5">
        <v>5</v>
      </c>
      <c r="O152" s="5">
        <v>6</v>
      </c>
      <c r="P152" s="5">
        <v>8</v>
      </c>
      <c r="Q152" s="5">
        <v>9</v>
      </c>
      <c r="R152" s="5">
        <v>14</v>
      </c>
      <c r="S152" s="5">
        <v>7</v>
      </c>
      <c r="T152" s="5">
        <v>5</v>
      </c>
      <c r="U152" s="5">
        <v>8</v>
      </c>
      <c r="V152" s="5">
        <v>6</v>
      </c>
      <c r="W152" s="5">
        <v>10</v>
      </c>
      <c r="X152" s="5">
        <v>7</v>
      </c>
      <c r="Y152" s="5">
        <v>9</v>
      </c>
      <c r="Z152" s="5">
        <v>6</v>
      </c>
      <c r="AA152" s="5">
        <v>6</v>
      </c>
      <c r="AB152" s="5">
        <v>8</v>
      </c>
      <c r="AC152" s="5">
        <v>13</v>
      </c>
      <c r="AD152" s="5">
        <v>20</v>
      </c>
      <c r="AE152" s="5">
        <v>15</v>
      </c>
      <c r="AF152" s="5">
        <v>21</v>
      </c>
      <c r="AG152" s="5">
        <v>24</v>
      </c>
      <c r="AH152" s="5">
        <v>18</v>
      </c>
      <c r="AI152" s="5">
        <v>27</v>
      </c>
      <c r="AJ152" s="5">
        <v>27</v>
      </c>
      <c r="AK152" s="5">
        <v>24</v>
      </c>
      <c r="AL152" s="5">
        <v>21</v>
      </c>
      <c r="AM152" s="5">
        <v>33</v>
      </c>
      <c r="AN152" s="5">
        <v>24</v>
      </c>
      <c r="AO152" s="5">
        <v>21</v>
      </c>
      <c r="AP152" s="5">
        <v>34</v>
      </c>
      <c r="AQ152" s="5">
        <v>38</v>
      </c>
      <c r="AR152" s="5">
        <v>62</v>
      </c>
      <c r="AS152" s="5">
        <v>42</v>
      </c>
      <c r="AT152" s="5">
        <v>37</v>
      </c>
      <c r="AU152" s="5"/>
      <c r="AV152" s="8">
        <f t="shared" ref="AV152:AV153" si="110">IF(SUM(AR152:AT152)&gt;=0,AVERAGE(AR152:AT152),"")</f>
        <v>47</v>
      </c>
      <c r="AW152" s="8">
        <f>IF(SUM(AP152:AT152)&gt;=0,AVERAGE(AP152:AT152),"")</f>
        <v>42.6</v>
      </c>
      <c r="AX152" s="8">
        <f t="shared" ref="AX152" si="111">IF(SUM(AK152:AT152)&gt;=0,AVERAGE(AK152:AT152),"")</f>
        <v>33.6</v>
      </c>
      <c r="AY152" s="8"/>
      <c r="AZ152" s="47">
        <f t="shared" ref="AZ152" si="112">(AT152-AX152)/AX152</f>
        <v>0.10119047619047615</v>
      </c>
      <c r="BA152" s="15"/>
    </row>
    <row r="153" spans="2:53" ht="11.25" customHeight="1">
      <c r="B153" s="5"/>
      <c r="C153" s="5" t="s">
        <v>283</v>
      </c>
      <c r="D153" s="5" t="s">
        <v>310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>
        <v>1</v>
      </c>
      <c r="AR153" s="5">
        <v>0</v>
      </c>
      <c r="AS153" s="5">
        <v>2</v>
      </c>
      <c r="AT153" s="5">
        <v>3</v>
      </c>
      <c r="AU153" s="46"/>
      <c r="AV153" s="8">
        <f t="shared" si="110"/>
        <v>1.6666666666666667</v>
      </c>
      <c r="AW153" s="6" t="s">
        <v>125</v>
      </c>
      <c r="AX153" s="6" t="s">
        <v>125</v>
      </c>
      <c r="AY153" s="15"/>
      <c r="AZ153" s="15"/>
      <c r="BA153" s="15"/>
    </row>
    <row r="154" spans="2:53" ht="11.2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10"/>
      <c r="AW154" s="10"/>
      <c r="AX154" s="10"/>
      <c r="AY154" s="15"/>
      <c r="AZ154" s="15"/>
      <c r="BA154" s="15"/>
    </row>
    <row r="155" spans="2:53" ht="11.25" customHeight="1">
      <c r="B155" s="5" t="s">
        <v>160</v>
      </c>
      <c r="C155" s="5" t="s">
        <v>77</v>
      </c>
      <c r="D155" s="5" t="s">
        <v>41</v>
      </c>
      <c r="E155" s="5">
        <v>55</v>
      </c>
      <c r="F155" s="5">
        <v>67</v>
      </c>
      <c r="G155" s="5">
        <v>73</v>
      </c>
      <c r="H155" s="5">
        <v>66</v>
      </c>
      <c r="I155" s="5">
        <v>58</v>
      </c>
      <c r="J155" s="5">
        <v>54</v>
      </c>
      <c r="K155" s="5">
        <v>50</v>
      </c>
      <c r="L155" s="5">
        <v>62</v>
      </c>
      <c r="M155" s="5">
        <v>43</v>
      </c>
      <c r="N155" s="5">
        <v>59</v>
      </c>
      <c r="O155" s="5">
        <v>84</v>
      </c>
      <c r="P155" s="5">
        <v>99</v>
      </c>
      <c r="Q155" s="5">
        <v>82</v>
      </c>
      <c r="R155" s="5">
        <v>73</v>
      </c>
      <c r="S155" s="5">
        <v>96</v>
      </c>
      <c r="T155" s="5">
        <v>94</v>
      </c>
      <c r="U155" s="5">
        <v>107</v>
      </c>
      <c r="V155" s="5">
        <v>95</v>
      </c>
      <c r="W155" s="5">
        <v>121</v>
      </c>
      <c r="X155" s="5">
        <v>121</v>
      </c>
      <c r="Y155" s="5">
        <v>96</v>
      </c>
      <c r="Z155" s="5">
        <v>96</v>
      </c>
      <c r="AA155" s="5">
        <v>60</v>
      </c>
      <c r="AB155" s="5">
        <f>28+46</f>
        <v>74</v>
      </c>
      <c r="AC155" s="5">
        <f>33+25</f>
        <v>58</v>
      </c>
      <c r="AD155" s="5">
        <f>28+20</f>
        <v>48</v>
      </c>
      <c r="AE155" s="5">
        <v>40</v>
      </c>
      <c r="AF155" s="5">
        <v>55</v>
      </c>
      <c r="AG155" s="5">
        <v>52</v>
      </c>
      <c r="AH155" s="5">
        <v>53</v>
      </c>
      <c r="AI155" s="5">
        <v>55</v>
      </c>
      <c r="AJ155" s="5">
        <v>60</v>
      </c>
      <c r="AK155" s="5">
        <v>58</v>
      </c>
      <c r="AL155" s="5">
        <v>61</v>
      </c>
      <c r="AM155" s="5">
        <v>61</v>
      </c>
      <c r="AN155" s="5">
        <v>54</v>
      </c>
      <c r="AO155" s="5">
        <v>51</v>
      </c>
      <c r="AP155" s="5">
        <v>56</v>
      </c>
      <c r="AQ155" s="5">
        <v>67</v>
      </c>
      <c r="AR155" s="5">
        <v>46</v>
      </c>
      <c r="AS155" s="5">
        <v>64</v>
      </c>
      <c r="AT155" s="5">
        <v>62</v>
      </c>
      <c r="AU155" s="5"/>
      <c r="AV155" s="8">
        <f t="shared" ref="AV155" si="113">IF(SUM(AR155:AT155)&gt;=0,AVERAGE(AR155:AT155),"")</f>
        <v>57.333333333333336</v>
      </c>
      <c r="AW155" s="8">
        <f>IF(SUM(AP155:AT155)&gt;=0,AVERAGE(AP155:AT155),"")</f>
        <v>59</v>
      </c>
      <c r="AX155" s="8">
        <f t="shared" ref="AX155" si="114">IF(SUM(AK155:AT155)&gt;=0,AVERAGE(AK155:AT155),"")</f>
        <v>58</v>
      </c>
      <c r="AY155" s="8"/>
      <c r="AZ155" s="47">
        <f t="shared" ref="AZ155" si="115">(AT155-AX155)/AX155</f>
        <v>6.8965517241379309E-2</v>
      </c>
      <c r="BA155" s="15"/>
    </row>
    <row r="156" spans="2:53" ht="11.2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10"/>
      <c r="AW156" s="10"/>
      <c r="AX156" s="10"/>
      <c r="AY156" s="15"/>
      <c r="AZ156" s="15"/>
      <c r="BA156" s="15"/>
    </row>
    <row r="157" spans="2:53" ht="11.25" customHeight="1">
      <c r="B157" s="5" t="s">
        <v>161</v>
      </c>
      <c r="C157" s="5" t="s">
        <v>169</v>
      </c>
      <c r="D157" s="5" t="s">
        <v>236</v>
      </c>
      <c r="E157" s="5"/>
      <c r="F157" s="5"/>
      <c r="G157" s="5"/>
      <c r="H157" s="5"/>
      <c r="I157" s="5"/>
      <c r="J157" s="5"/>
      <c r="K157" s="5"/>
      <c r="L157" s="46" t="s">
        <v>124</v>
      </c>
      <c r="M157" s="46" t="s">
        <v>124</v>
      </c>
      <c r="N157" s="46" t="s">
        <v>124</v>
      </c>
      <c r="O157" s="46" t="s">
        <v>124</v>
      </c>
      <c r="P157" s="46" t="s">
        <v>124</v>
      </c>
      <c r="Q157" s="46" t="s">
        <v>124</v>
      </c>
      <c r="R157" s="46" t="s">
        <v>124</v>
      </c>
      <c r="S157" s="46" t="s">
        <v>124</v>
      </c>
      <c r="T157" s="46" t="s">
        <v>124</v>
      </c>
      <c r="U157" s="46" t="s">
        <v>124</v>
      </c>
      <c r="V157" s="46" t="s">
        <v>124</v>
      </c>
      <c r="W157" s="46"/>
      <c r="X157" s="46"/>
      <c r="Y157" s="46"/>
      <c r="Z157" s="46"/>
      <c r="AA157" s="46"/>
      <c r="AB157" s="46"/>
      <c r="AC157" s="46"/>
      <c r="AD157" s="46"/>
      <c r="AE157" s="46"/>
      <c r="AF157" s="5">
        <v>5</v>
      </c>
      <c r="AG157" s="5">
        <v>16</v>
      </c>
      <c r="AH157" s="5">
        <v>22</v>
      </c>
      <c r="AI157" s="5">
        <v>36</v>
      </c>
      <c r="AJ157" s="5">
        <v>32</v>
      </c>
      <c r="AK157" s="5">
        <v>25</v>
      </c>
      <c r="AL157" s="5">
        <v>24</v>
      </c>
      <c r="AM157" s="5">
        <v>29</v>
      </c>
      <c r="AN157" s="5">
        <v>31</v>
      </c>
      <c r="AO157" s="5">
        <v>20</v>
      </c>
      <c r="AP157" s="5">
        <v>22</v>
      </c>
      <c r="AQ157" s="5">
        <v>38</v>
      </c>
      <c r="AR157" s="5">
        <v>30</v>
      </c>
      <c r="AS157" s="5">
        <v>16</v>
      </c>
      <c r="AT157" s="5">
        <v>21</v>
      </c>
      <c r="AU157" s="5"/>
      <c r="AV157" s="8">
        <f t="shared" ref="AV157:AV161" si="116">IF(SUM(AR157:AT157)&gt;=0,AVERAGE(AR157:AT157),"")</f>
        <v>22.333333333333332</v>
      </c>
      <c r="AW157" s="8">
        <f t="shared" ref="AW157:AW161" si="117">IF(SUM(AP157:AT157)&gt;=0,AVERAGE(AP157:AT157),"")</f>
        <v>25.4</v>
      </c>
      <c r="AX157" s="8">
        <f t="shared" ref="AX157:AX160" si="118">IF(SUM(AK157:AT157)&gt;=0,AVERAGE(AK157:AT157),"")</f>
        <v>25.6</v>
      </c>
      <c r="AY157" s="8"/>
      <c r="AZ157" s="47">
        <f t="shared" ref="AZ157:AZ160" si="119">(AT157-AX157)/AX157</f>
        <v>-0.17968750000000006</v>
      </c>
      <c r="BA157" s="15"/>
    </row>
    <row r="158" spans="2:53" ht="11.25" customHeight="1">
      <c r="B158" s="15"/>
      <c r="C158" s="5" t="s">
        <v>40</v>
      </c>
      <c r="D158" s="5" t="s">
        <v>41</v>
      </c>
      <c r="E158" s="5">
        <v>39</v>
      </c>
      <c r="F158" s="5">
        <v>42</v>
      </c>
      <c r="G158" s="5">
        <v>23</v>
      </c>
      <c r="H158" s="5">
        <v>39</v>
      </c>
      <c r="I158" s="5">
        <v>24</v>
      </c>
      <c r="J158" s="5">
        <v>24</v>
      </c>
      <c r="K158" s="5">
        <v>22</v>
      </c>
      <c r="L158" s="5">
        <v>34</v>
      </c>
      <c r="M158" s="5">
        <v>18</v>
      </c>
      <c r="N158" s="5">
        <v>32</v>
      </c>
      <c r="O158" s="5">
        <v>37</v>
      </c>
      <c r="P158" s="5">
        <v>43</v>
      </c>
      <c r="Q158" s="5">
        <v>37</v>
      </c>
      <c r="R158" s="5">
        <v>47</v>
      </c>
      <c r="S158" s="5">
        <v>42</v>
      </c>
      <c r="T158" s="5">
        <v>36</v>
      </c>
      <c r="U158" s="5">
        <v>49</v>
      </c>
      <c r="V158" s="5">
        <v>62</v>
      </c>
      <c r="W158" s="5">
        <v>60</v>
      </c>
      <c r="X158" s="5">
        <v>74</v>
      </c>
      <c r="Y158" s="5">
        <f>29+46</f>
        <v>75</v>
      </c>
      <c r="Z158" s="5">
        <v>60</v>
      </c>
      <c r="AA158" s="5">
        <v>66</v>
      </c>
      <c r="AB158" s="5">
        <f>4+40</f>
        <v>44</v>
      </c>
      <c r="AC158" s="5">
        <f>3+39</f>
        <v>42</v>
      </c>
      <c r="AD158" s="5">
        <f>4+42</f>
        <v>46</v>
      </c>
      <c r="AE158" s="5">
        <v>64</v>
      </c>
      <c r="AF158" s="5">
        <v>48</v>
      </c>
      <c r="AG158" s="5">
        <v>44</v>
      </c>
      <c r="AH158" s="5">
        <v>53</v>
      </c>
      <c r="AI158" s="5">
        <v>28</v>
      </c>
      <c r="AJ158" s="5">
        <v>30</v>
      </c>
      <c r="AK158" s="5">
        <v>49</v>
      </c>
      <c r="AL158" s="5">
        <v>38</v>
      </c>
      <c r="AM158" s="5">
        <v>28</v>
      </c>
      <c r="AN158" s="5">
        <v>32</v>
      </c>
      <c r="AO158" s="5">
        <v>32</v>
      </c>
      <c r="AP158" s="5">
        <v>30</v>
      </c>
      <c r="AQ158" s="5">
        <v>22</v>
      </c>
      <c r="AR158" s="5">
        <v>33</v>
      </c>
      <c r="AS158" s="5">
        <v>14</v>
      </c>
      <c r="AT158" s="5">
        <v>16</v>
      </c>
      <c r="AU158" s="5"/>
      <c r="AV158" s="8">
        <f t="shared" si="116"/>
        <v>21</v>
      </c>
      <c r="AW158" s="8">
        <f t="shared" si="117"/>
        <v>23</v>
      </c>
      <c r="AX158" s="8">
        <f t="shared" si="118"/>
        <v>29.4</v>
      </c>
      <c r="AY158" s="8"/>
      <c r="AZ158" s="47">
        <f t="shared" si="119"/>
        <v>-0.45578231292517002</v>
      </c>
      <c r="BA158" s="15"/>
    </row>
    <row r="159" spans="2:53" ht="11.25" customHeight="1">
      <c r="B159" s="5"/>
      <c r="C159" s="5"/>
      <c r="D159" s="5" t="s">
        <v>237</v>
      </c>
      <c r="E159" s="5"/>
      <c r="F159" s="5"/>
      <c r="G159" s="5"/>
      <c r="H159" s="5"/>
      <c r="I159" s="5"/>
      <c r="J159" s="5"/>
      <c r="K159" s="5"/>
      <c r="L159" s="46" t="s">
        <v>124</v>
      </c>
      <c r="M159" s="46" t="s">
        <v>124</v>
      </c>
      <c r="N159" s="46" t="s">
        <v>124</v>
      </c>
      <c r="O159" s="46" t="s">
        <v>124</v>
      </c>
      <c r="P159" s="46" t="s">
        <v>124</v>
      </c>
      <c r="Q159" s="46" t="s">
        <v>124</v>
      </c>
      <c r="R159" s="46" t="s">
        <v>124</v>
      </c>
      <c r="S159" s="46" t="s">
        <v>124</v>
      </c>
      <c r="T159" s="46" t="s">
        <v>124</v>
      </c>
      <c r="U159" s="46" t="s">
        <v>124</v>
      </c>
      <c r="V159" s="46" t="s">
        <v>124</v>
      </c>
      <c r="W159" s="46"/>
      <c r="X159" s="46"/>
      <c r="Y159" s="46"/>
      <c r="Z159" s="46"/>
      <c r="AA159" s="46"/>
      <c r="AB159" s="46"/>
      <c r="AC159" s="46"/>
      <c r="AD159" s="46"/>
      <c r="AE159" s="46"/>
      <c r="AF159" s="5">
        <v>3</v>
      </c>
      <c r="AG159" s="5">
        <v>27</v>
      </c>
      <c r="AH159" s="5">
        <v>29</v>
      </c>
      <c r="AI159" s="5">
        <v>22</v>
      </c>
      <c r="AJ159" s="5">
        <v>25</v>
      </c>
      <c r="AK159" s="5">
        <v>22</v>
      </c>
      <c r="AL159" s="5">
        <v>16</v>
      </c>
      <c r="AM159" s="5">
        <v>13</v>
      </c>
      <c r="AN159" s="5">
        <v>20</v>
      </c>
      <c r="AO159" s="5">
        <v>4</v>
      </c>
      <c r="AP159" s="5">
        <v>7</v>
      </c>
      <c r="AQ159" s="5">
        <v>8</v>
      </c>
      <c r="AR159" s="5">
        <v>4</v>
      </c>
      <c r="AS159" s="5">
        <v>2</v>
      </c>
      <c r="AT159" s="5">
        <v>11</v>
      </c>
      <c r="AU159" s="5"/>
      <c r="AV159" s="8">
        <f t="shared" si="116"/>
        <v>5.666666666666667</v>
      </c>
      <c r="AW159" s="8">
        <f t="shared" si="117"/>
        <v>6.4</v>
      </c>
      <c r="AX159" s="8">
        <f t="shared" si="118"/>
        <v>10.7</v>
      </c>
      <c r="AY159" s="8"/>
      <c r="AZ159" s="47">
        <f t="shared" si="119"/>
        <v>2.8037383177570162E-2</v>
      </c>
      <c r="BA159" s="15"/>
    </row>
    <row r="160" spans="2:53" ht="11.25" customHeight="1">
      <c r="B160" s="5"/>
      <c r="C160" s="5" t="s">
        <v>164</v>
      </c>
      <c r="D160" s="5" t="s">
        <v>248</v>
      </c>
      <c r="E160" s="5"/>
      <c r="F160" s="5"/>
      <c r="G160" s="5"/>
      <c r="H160" s="5"/>
      <c r="I160" s="5"/>
      <c r="J160" s="5"/>
      <c r="K160" s="46" t="s">
        <v>124</v>
      </c>
      <c r="L160" s="46" t="s">
        <v>124</v>
      </c>
      <c r="M160" s="46" t="s">
        <v>124</v>
      </c>
      <c r="N160" s="46" t="s">
        <v>124</v>
      </c>
      <c r="O160" s="46" t="s">
        <v>124</v>
      </c>
      <c r="P160" s="46" t="s">
        <v>124</v>
      </c>
      <c r="Q160" s="46" t="s">
        <v>124</v>
      </c>
      <c r="R160" s="46" t="s">
        <v>124</v>
      </c>
      <c r="S160" s="46" t="s">
        <v>124</v>
      </c>
      <c r="T160" s="46" t="s">
        <v>124</v>
      </c>
      <c r="U160" s="46" t="s">
        <v>124</v>
      </c>
      <c r="V160" s="46" t="s">
        <v>124</v>
      </c>
      <c r="W160" s="46"/>
      <c r="X160" s="46"/>
      <c r="Y160" s="46"/>
      <c r="Z160" s="46"/>
      <c r="AA160" s="46"/>
      <c r="AB160" s="46"/>
      <c r="AC160" s="46"/>
      <c r="AD160" s="46"/>
      <c r="AE160" s="5">
        <v>5</v>
      </c>
      <c r="AF160" s="5">
        <v>6</v>
      </c>
      <c r="AG160" s="5">
        <v>9</v>
      </c>
      <c r="AH160" s="5">
        <v>1</v>
      </c>
      <c r="AI160" s="5">
        <v>1</v>
      </c>
      <c r="AJ160" s="5">
        <v>3</v>
      </c>
      <c r="AK160" s="5">
        <v>1</v>
      </c>
      <c r="AL160" s="5">
        <v>2</v>
      </c>
      <c r="AM160" s="5">
        <v>5</v>
      </c>
      <c r="AN160" s="5">
        <v>7</v>
      </c>
      <c r="AO160" s="5">
        <v>0</v>
      </c>
      <c r="AP160" s="5">
        <v>2</v>
      </c>
      <c r="AQ160" s="5">
        <v>1</v>
      </c>
      <c r="AR160" s="5">
        <v>1</v>
      </c>
      <c r="AS160" s="5">
        <v>0</v>
      </c>
      <c r="AT160" s="5">
        <v>0</v>
      </c>
      <c r="AU160" s="5"/>
      <c r="AV160" s="8">
        <f t="shared" si="116"/>
        <v>0.33333333333333331</v>
      </c>
      <c r="AW160" s="8">
        <f t="shared" si="117"/>
        <v>0.8</v>
      </c>
      <c r="AX160" s="8">
        <f t="shared" si="118"/>
        <v>1.9</v>
      </c>
      <c r="AY160" s="8"/>
      <c r="AZ160" s="47">
        <f t="shared" si="119"/>
        <v>-1</v>
      </c>
      <c r="BA160" s="15"/>
    </row>
    <row r="161" spans="2:53" ht="11.25" customHeight="1">
      <c r="B161" s="5"/>
      <c r="C161" s="5" t="s">
        <v>257</v>
      </c>
      <c r="D161" s="5" t="s">
        <v>282</v>
      </c>
      <c r="E161" s="5"/>
      <c r="F161" s="5"/>
      <c r="G161" s="5"/>
      <c r="H161" s="5"/>
      <c r="I161" s="5"/>
      <c r="J161" s="5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>
        <v>3</v>
      </c>
      <c r="AP161" s="5">
        <v>2</v>
      </c>
      <c r="AQ161" s="5">
        <v>1</v>
      </c>
      <c r="AR161" s="5">
        <v>2</v>
      </c>
      <c r="AS161" s="5">
        <v>2</v>
      </c>
      <c r="AT161" s="5">
        <v>5</v>
      </c>
      <c r="AU161" s="46"/>
      <c r="AV161" s="8">
        <f t="shared" si="116"/>
        <v>3</v>
      </c>
      <c r="AW161" s="8">
        <f t="shared" si="117"/>
        <v>2.4</v>
      </c>
      <c r="AX161" s="6" t="s">
        <v>125</v>
      </c>
      <c r="AY161" s="15"/>
      <c r="AZ161" s="15"/>
      <c r="BA161" s="15"/>
    </row>
    <row r="162" spans="2:53" ht="11.25" customHeight="1">
      <c r="B162" s="5"/>
      <c r="C162" s="5"/>
      <c r="D162" s="5"/>
      <c r="E162" s="5"/>
      <c r="F162" s="5"/>
      <c r="G162" s="5"/>
      <c r="H162" s="5"/>
      <c r="I162" s="5"/>
      <c r="J162" s="5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6"/>
      <c r="AW162" s="6"/>
      <c r="AX162" s="6"/>
      <c r="AY162" s="15"/>
      <c r="AZ162" s="15"/>
      <c r="BA162" s="15"/>
    </row>
    <row r="163" spans="2:53" ht="11.25" customHeight="1">
      <c r="B163" s="5" t="s">
        <v>175</v>
      </c>
      <c r="C163" s="5" t="s">
        <v>258</v>
      </c>
      <c r="D163" s="5" t="s">
        <v>319</v>
      </c>
      <c r="E163" s="5"/>
      <c r="F163" s="5"/>
      <c r="G163" s="5"/>
      <c r="H163" s="5"/>
      <c r="I163" s="5"/>
      <c r="J163" s="5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>
        <v>18</v>
      </c>
      <c r="AP163" s="5">
        <v>14</v>
      </c>
      <c r="AQ163" s="5">
        <v>19</v>
      </c>
      <c r="AR163" s="5">
        <v>12</v>
      </c>
      <c r="AS163" s="5">
        <v>16</v>
      </c>
      <c r="AT163" s="5">
        <v>13</v>
      </c>
      <c r="AU163" s="5"/>
      <c r="AV163" s="8">
        <f t="shared" ref="AV163:AV166" si="120">IF(SUM(AR163:AT163)&gt;=0,AVERAGE(AR163:AT163),"")</f>
        <v>13.666666666666666</v>
      </c>
      <c r="AW163" s="8">
        <f t="shared" ref="AW163:AW166" si="121">IF(SUM(AP163:AT163)&gt;=0,AVERAGE(AP163:AT163),"")</f>
        <v>14.8</v>
      </c>
      <c r="AX163" s="6" t="s">
        <v>125</v>
      </c>
      <c r="AY163" s="15"/>
      <c r="AZ163" s="15"/>
      <c r="BA163" s="15"/>
    </row>
    <row r="164" spans="2:53" ht="11.25" customHeight="1">
      <c r="B164" s="15"/>
      <c r="C164" s="5" t="s">
        <v>205</v>
      </c>
      <c r="D164" s="5" t="s">
        <v>239</v>
      </c>
      <c r="E164" s="5"/>
      <c r="F164" s="5"/>
      <c r="G164" s="5"/>
      <c r="H164" s="5"/>
      <c r="I164" s="5"/>
      <c r="J164" s="5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5"/>
      <c r="AF164" s="5">
        <v>0</v>
      </c>
      <c r="AG164" s="5">
        <v>0</v>
      </c>
      <c r="AH164" s="5">
        <v>0</v>
      </c>
      <c r="AI164" s="5">
        <v>0</v>
      </c>
      <c r="AJ164" s="5">
        <v>1</v>
      </c>
      <c r="AK164" s="5">
        <v>0</v>
      </c>
      <c r="AL164" s="5">
        <v>1</v>
      </c>
      <c r="AM164" s="5">
        <v>0</v>
      </c>
      <c r="AN164" s="5">
        <v>0</v>
      </c>
      <c r="AO164" s="5">
        <v>0</v>
      </c>
      <c r="AP164" s="5">
        <v>0</v>
      </c>
      <c r="AQ164" s="5">
        <v>1</v>
      </c>
      <c r="AR164" s="5">
        <v>2</v>
      </c>
      <c r="AS164" s="5">
        <v>0</v>
      </c>
      <c r="AT164" s="5">
        <v>0</v>
      </c>
      <c r="AU164" s="5"/>
      <c r="AV164" s="8">
        <f t="shared" si="120"/>
        <v>0.66666666666666663</v>
      </c>
      <c r="AW164" s="8">
        <f t="shared" si="121"/>
        <v>0.6</v>
      </c>
      <c r="AX164" s="8">
        <f t="shared" ref="AX164:AX166" si="122">IF(SUM(AK164:AT164)&gt;=0,AVERAGE(AK164:AT164),"")</f>
        <v>0.4</v>
      </c>
      <c r="AY164" s="8"/>
      <c r="AZ164" s="47">
        <f t="shared" ref="AZ164:AZ166" si="123">(AT164-AX164)/AX164</f>
        <v>-1</v>
      </c>
      <c r="BA164" s="15"/>
    </row>
    <row r="165" spans="2:53" ht="11.25" hidden="1" customHeight="1">
      <c r="B165" s="15"/>
      <c r="C165" s="5" t="s">
        <v>176</v>
      </c>
      <c r="D165" s="5" t="s">
        <v>249</v>
      </c>
      <c r="E165" s="5"/>
      <c r="F165" s="5"/>
      <c r="G165" s="5"/>
      <c r="H165" s="5"/>
      <c r="I165" s="5"/>
      <c r="J165" s="5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5">
        <v>0</v>
      </c>
      <c r="AF165" s="5">
        <v>0</v>
      </c>
      <c r="AG165" s="5">
        <v>2</v>
      </c>
      <c r="AH165" s="5">
        <v>7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8" t="e">
        <f t="shared" si="120"/>
        <v>#DIV/0!</v>
      </c>
      <c r="AW165" s="8" t="e">
        <f t="shared" si="121"/>
        <v>#DIV/0!</v>
      </c>
      <c r="AX165" s="8" t="e">
        <f t="shared" si="122"/>
        <v>#DIV/0!</v>
      </c>
      <c r="AY165" s="8"/>
      <c r="AZ165" s="47" t="e">
        <f t="shared" si="123"/>
        <v>#DIV/0!</v>
      </c>
      <c r="BA165" s="15"/>
    </row>
    <row r="166" spans="2:53" ht="11.25" customHeight="1">
      <c r="B166" s="5"/>
      <c r="C166" s="5" t="s">
        <v>176</v>
      </c>
      <c r="D166" s="5" t="s">
        <v>237</v>
      </c>
      <c r="E166" s="5"/>
      <c r="F166" s="5"/>
      <c r="G166" s="5"/>
      <c r="H166" s="5"/>
      <c r="I166" s="5"/>
      <c r="J166" s="5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5"/>
      <c r="AF166" s="5">
        <v>0</v>
      </c>
      <c r="AG166" s="5">
        <v>2</v>
      </c>
      <c r="AH166" s="5">
        <v>2</v>
      </c>
      <c r="AI166" s="5">
        <v>6</v>
      </c>
      <c r="AJ166" s="5">
        <v>17</v>
      </c>
      <c r="AK166" s="5">
        <v>9</v>
      </c>
      <c r="AL166" s="5">
        <v>6</v>
      </c>
      <c r="AM166" s="5">
        <v>13</v>
      </c>
      <c r="AN166" s="5">
        <v>8</v>
      </c>
      <c r="AO166" s="5">
        <v>9</v>
      </c>
      <c r="AP166" s="5">
        <v>7</v>
      </c>
      <c r="AQ166" s="5">
        <v>9</v>
      </c>
      <c r="AR166" s="5">
        <v>13</v>
      </c>
      <c r="AS166" s="5">
        <v>7</v>
      </c>
      <c r="AT166" s="5">
        <v>12</v>
      </c>
      <c r="AU166" s="5"/>
      <c r="AV166" s="8">
        <f t="shared" si="120"/>
        <v>10.666666666666666</v>
      </c>
      <c r="AW166" s="8">
        <f t="shared" si="121"/>
        <v>9.6</v>
      </c>
      <c r="AX166" s="8">
        <f t="shared" si="122"/>
        <v>9.3000000000000007</v>
      </c>
      <c r="AY166" s="8"/>
      <c r="AZ166" s="47">
        <f t="shared" si="123"/>
        <v>0.2903225806451612</v>
      </c>
      <c r="BA166" s="15"/>
    </row>
    <row r="167" spans="2:53" ht="11.2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6"/>
      <c r="AW167" s="6"/>
      <c r="AX167" s="6"/>
      <c r="AY167" s="15"/>
      <c r="AZ167" s="15"/>
      <c r="BA167" s="15"/>
    </row>
    <row r="168" spans="2:53" ht="11.25" customHeight="1">
      <c r="B168" s="5" t="s">
        <v>162</v>
      </c>
      <c r="C168" s="5" t="s">
        <v>284</v>
      </c>
      <c r="D168" s="5" t="s">
        <v>310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>
        <v>2</v>
      </c>
      <c r="AR168" s="5">
        <v>3</v>
      </c>
      <c r="AS168" s="5">
        <v>11</v>
      </c>
      <c r="AT168" s="5">
        <v>11</v>
      </c>
      <c r="AU168" s="46"/>
      <c r="AV168" s="8">
        <f t="shared" ref="AV168:AV179" si="124">IF(SUM(AR168:AT168)&gt;=0,AVERAGE(AR168:AT168),"")</f>
        <v>8.3333333333333339</v>
      </c>
      <c r="AW168" s="6" t="s">
        <v>125</v>
      </c>
      <c r="AX168" s="6" t="s">
        <v>125</v>
      </c>
      <c r="AY168" s="15"/>
      <c r="AZ168" s="15"/>
      <c r="BA168" s="15"/>
    </row>
    <row r="169" spans="2:53" ht="11.25" customHeight="1">
      <c r="B169" s="15"/>
      <c r="C169" s="5" t="s">
        <v>209</v>
      </c>
      <c r="D169" s="5" t="s">
        <v>216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>
        <v>1</v>
      </c>
      <c r="AL169" s="5">
        <v>3</v>
      </c>
      <c r="AM169" s="5">
        <v>8</v>
      </c>
      <c r="AN169" s="5">
        <v>10</v>
      </c>
      <c r="AO169" s="5">
        <v>13</v>
      </c>
      <c r="AP169" s="5">
        <v>11</v>
      </c>
      <c r="AQ169" s="5">
        <v>21</v>
      </c>
      <c r="AR169" s="5">
        <v>12</v>
      </c>
      <c r="AS169" s="5">
        <v>7</v>
      </c>
      <c r="AT169" s="5">
        <v>7</v>
      </c>
      <c r="AU169" s="5"/>
      <c r="AV169" s="8">
        <f t="shared" si="124"/>
        <v>8.6666666666666661</v>
      </c>
      <c r="AW169" s="8">
        <f t="shared" ref="AW169:AW170" si="125">IF(SUM(AP169:AT169)&gt;=0,AVERAGE(AP169:AT169),"")</f>
        <v>11.6</v>
      </c>
      <c r="AX169" s="8">
        <f t="shared" ref="AX169:AX170" si="126">IF(SUM(AK169:AT169)&gt;=0,AVERAGE(AK169:AT169),"")</f>
        <v>9.3000000000000007</v>
      </c>
      <c r="AY169" s="8"/>
      <c r="AZ169" s="47">
        <f t="shared" ref="AZ169:AZ170" si="127">(AT169-AX169)/AX169</f>
        <v>-0.24731182795698931</v>
      </c>
      <c r="BA169" s="15"/>
    </row>
    <row r="170" spans="2:53" ht="11.25" customHeight="1">
      <c r="B170" s="15"/>
      <c r="C170" s="5" t="s">
        <v>38</v>
      </c>
      <c r="D170" s="5" t="s">
        <v>39</v>
      </c>
      <c r="E170" s="5">
        <v>9</v>
      </c>
      <c r="F170" s="5">
        <v>8</v>
      </c>
      <c r="G170" s="5">
        <v>8</v>
      </c>
      <c r="H170" s="5">
        <v>7</v>
      </c>
      <c r="I170" s="5">
        <v>2</v>
      </c>
      <c r="J170" s="5">
        <v>13</v>
      </c>
      <c r="K170" s="5">
        <v>7</v>
      </c>
      <c r="L170" s="5">
        <v>16</v>
      </c>
      <c r="M170" s="5">
        <v>20</v>
      </c>
      <c r="N170" s="5">
        <v>18</v>
      </c>
      <c r="O170" s="5">
        <v>20</v>
      </c>
      <c r="P170" s="5">
        <v>30</v>
      </c>
      <c r="Q170" s="5">
        <v>30</v>
      </c>
      <c r="R170" s="5">
        <v>26</v>
      </c>
      <c r="S170" s="5">
        <v>19</v>
      </c>
      <c r="T170" s="5">
        <v>29</v>
      </c>
      <c r="U170" s="5">
        <v>20</v>
      </c>
      <c r="V170" s="5">
        <v>27</v>
      </c>
      <c r="W170" s="5">
        <v>23</v>
      </c>
      <c r="X170" s="5">
        <v>26</v>
      </c>
      <c r="Y170" s="5">
        <v>26</v>
      </c>
      <c r="Z170" s="5">
        <v>32</v>
      </c>
      <c r="AA170" s="5">
        <v>32</v>
      </c>
      <c r="AB170" s="5">
        <f>22+9</f>
        <v>31</v>
      </c>
      <c r="AC170" s="5">
        <f>14+18</f>
        <v>32</v>
      </c>
      <c r="AD170" s="5">
        <f>1+28</f>
        <v>29</v>
      </c>
      <c r="AE170" s="5">
        <v>36</v>
      </c>
      <c r="AF170" s="5">
        <v>35</v>
      </c>
      <c r="AG170" s="5">
        <v>31</v>
      </c>
      <c r="AH170" s="5">
        <v>30</v>
      </c>
      <c r="AI170" s="5">
        <v>18</v>
      </c>
      <c r="AJ170" s="5">
        <v>17</v>
      </c>
      <c r="AK170" s="5">
        <v>25</v>
      </c>
      <c r="AL170" s="5">
        <v>32</v>
      </c>
      <c r="AM170" s="5">
        <v>27</v>
      </c>
      <c r="AN170" s="5">
        <v>22</v>
      </c>
      <c r="AO170" s="5">
        <v>15</v>
      </c>
      <c r="AP170" s="5">
        <v>15</v>
      </c>
      <c r="AQ170" s="5">
        <v>16</v>
      </c>
      <c r="AR170" s="5">
        <v>18</v>
      </c>
      <c r="AS170" s="5">
        <v>11</v>
      </c>
      <c r="AT170" s="5">
        <v>6</v>
      </c>
      <c r="AU170" s="5"/>
      <c r="AV170" s="8">
        <f t="shared" si="124"/>
        <v>11.666666666666666</v>
      </c>
      <c r="AW170" s="8">
        <f t="shared" si="125"/>
        <v>13.2</v>
      </c>
      <c r="AX170" s="8">
        <f t="shared" si="126"/>
        <v>18.7</v>
      </c>
      <c r="AY170" s="8"/>
      <c r="AZ170" s="47">
        <f t="shared" si="127"/>
        <v>-0.67914438502673791</v>
      </c>
      <c r="BA170" s="15"/>
    </row>
    <row r="171" spans="2:53" ht="11.25" customHeight="1">
      <c r="B171" s="15"/>
      <c r="C171" s="5" t="s">
        <v>288</v>
      </c>
      <c r="D171" s="5" t="s">
        <v>310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>
        <v>0</v>
      </c>
      <c r="AR171" s="5">
        <v>1</v>
      </c>
      <c r="AS171" s="5">
        <v>1</v>
      </c>
      <c r="AT171" s="5">
        <v>0</v>
      </c>
      <c r="AU171" s="46"/>
      <c r="AV171" s="8">
        <f t="shared" si="124"/>
        <v>0.66666666666666663</v>
      </c>
      <c r="AW171" s="6" t="s">
        <v>125</v>
      </c>
      <c r="AX171" s="6" t="s">
        <v>125</v>
      </c>
      <c r="AY171" s="15"/>
      <c r="AZ171" s="15"/>
      <c r="BA171" s="15"/>
    </row>
    <row r="172" spans="2:53" ht="11.25" customHeight="1">
      <c r="B172" s="5"/>
      <c r="C172" s="5" t="s">
        <v>37</v>
      </c>
      <c r="D172" s="5" t="s">
        <v>185</v>
      </c>
      <c r="E172" s="5"/>
      <c r="F172" s="5"/>
      <c r="G172" s="5"/>
      <c r="H172" s="5"/>
      <c r="I172" s="5"/>
      <c r="J172" s="5"/>
      <c r="K172" s="46" t="s">
        <v>124</v>
      </c>
      <c r="L172" s="46" t="s">
        <v>124</v>
      </c>
      <c r="M172" s="46" t="s">
        <v>124</v>
      </c>
      <c r="N172" s="46" t="s">
        <v>124</v>
      </c>
      <c r="O172" s="46" t="s">
        <v>124</v>
      </c>
      <c r="P172" s="46" t="s">
        <v>124</v>
      </c>
      <c r="Q172" s="46" t="s">
        <v>124</v>
      </c>
      <c r="R172" s="46" t="s">
        <v>124</v>
      </c>
      <c r="S172" s="46" t="s">
        <v>124</v>
      </c>
      <c r="T172" s="46" t="s">
        <v>124</v>
      </c>
      <c r="U172" s="46" t="s">
        <v>124</v>
      </c>
      <c r="V172" s="46" t="s">
        <v>124</v>
      </c>
      <c r="W172" s="46"/>
      <c r="X172" s="46"/>
      <c r="Y172" s="46"/>
      <c r="Z172" s="46"/>
      <c r="AA172" s="46"/>
      <c r="AB172" s="46"/>
      <c r="AC172" s="46"/>
      <c r="AD172" s="46">
        <v>0</v>
      </c>
      <c r="AE172" s="5">
        <v>1</v>
      </c>
      <c r="AF172" s="5">
        <v>2</v>
      </c>
      <c r="AG172" s="46">
        <v>6</v>
      </c>
      <c r="AH172" s="46">
        <v>2</v>
      </c>
      <c r="AI172" s="46">
        <v>8</v>
      </c>
      <c r="AJ172" s="46">
        <v>8</v>
      </c>
      <c r="AK172" s="46">
        <v>7</v>
      </c>
      <c r="AL172" s="46">
        <v>6</v>
      </c>
      <c r="AM172" s="46">
        <v>3</v>
      </c>
      <c r="AN172" s="46">
        <v>8</v>
      </c>
      <c r="AO172" s="46">
        <v>12</v>
      </c>
      <c r="AP172" s="46">
        <v>33</v>
      </c>
      <c r="AQ172" s="46">
        <v>36</v>
      </c>
      <c r="AR172" s="46">
        <v>19</v>
      </c>
      <c r="AS172" s="46">
        <v>28</v>
      </c>
      <c r="AT172" s="46">
        <v>24</v>
      </c>
      <c r="AU172" s="5"/>
      <c r="AV172" s="8">
        <f t="shared" si="124"/>
        <v>23.666666666666668</v>
      </c>
      <c r="AW172" s="8">
        <f t="shared" ref="AW172:AW174" si="128">IF(SUM(AP172:AT172)&gt;=0,AVERAGE(AP172:AT172),"")</f>
        <v>28</v>
      </c>
      <c r="AX172" s="8">
        <f t="shared" ref="AX172:AX174" si="129">IF(SUM(AK172:AT172)&gt;=0,AVERAGE(AK172:AT172),"")</f>
        <v>17.600000000000001</v>
      </c>
      <c r="AY172" s="8"/>
      <c r="AZ172" s="47">
        <f t="shared" ref="AZ172:AZ174" si="130">(AT172-AX172)/AX172</f>
        <v>0.36363636363636354</v>
      </c>
      <c r="BA172" s="15"/>
    </row>
    <row r="173" spans="2:53" ht="11.25" customHeight="1">
      <c r="B173" s="5"/>
      <c r="C173" s="5" t="s">
        <v>63</v>
      </c>
      <c r="D173" s="5" t="s">
        <v>39</v>
      </c>
      <c r="E173" s="5">
        <v>134</v>
      </c>
      <c r="F173" s="5">
        <v>105</v>
      </c>
      <c r="G173" s="5">
        <v>97</v>
      </c>
      <c r="H173" s="5">
        <v>76</v>
      </c>
      <c r="I173" s="5">
        <v>79</v>
      </c>
      <c r="J173" s="5">
        <v>56</v>
      </c>
      <c r="K173" s="5">
        <v>44</v>
      </c>
      <c r="L173" s="5">
        <v>58</v>
      </c>
      <c r="M173" s="5">
        <v>73</v>
      </c>
      <c r="N173" s="5">
        <v>73</v>
      </c>
      <c r="O173" s="5">
        <v>101</v>
      </c>
      <c r="P173" s="5">
        <v>116</v>
      </c>
      <c r="Q173" s="5">
        <v>135</v>
      </c>
      <c r="R173" s="5">
        <v>177</v>
      </c>
      <c r="S173" s="5">
        <v>178</v>
      </c>
      <c r="T173" s="5">
        <v>160</v>
      </c>
      <c r="U173" s="5">
        <v>155</v>
      </c>
      <c r="V173" s="5">
        <v>141</v>
      </c>
      <c r="W173" s="5">
        <v>132</v>
      </c>
      <c r="X173" s="5">
        <f>14+164</f>
        <v>178</v>
      </c>
      <c r="Y173" s="5">
        <f>18+130</f>
        <v>148</v>
      </c>
      <c r="Z173" s="5">
        <f>18+99</f>
        <v>117</v>
      </c>
      <c r="AA173" s="5">
        <f>14+130</f>
        <v>144</v>
      </c>
      <c r="AB173" s="5">
        <f>5+88+11+64</f>
        <v>168</v>
      </c>
      <c r="AC173" s="5">
        <f>3+64+11+84</f>
        <v>162</v>
      </c>
      <c r="AD173" s="5">
        <f>1+19+18+111</f>
        <v>149</v>
      </c>
      <c r="AE173" s="5">
        <v>174</v>
      </c>
      <c r="AF173" s="5">
        <v>162</v>
      </c>
      <c r="AG173" s="5">
        <v>136</v>
      </c>
      <c r="AH173" s="5">
        <v>151</v>
      </c>
      <c r="AI173" s="5">
        <v>140</v>
      </c>
      <c r="AJ173" s="5">
        <v>147</v>
      </c>
      <c r="AK173" s="5">
        <v>122</v>
      </c>
      <c r="AL173" s="5">
        <v>148</v>
      </c>
      <c r="AM173" s="5">
        <v>121</v>
      </c>
      <c r="AN173" s="5">
        <v>120</v>
      </c>
      <c r="AO173" s="5">
        <v>106</v>
      </c>
      <c r="AP173" s="5">
        <v>85</v>
      </c>
      <c r="AQ173" s="5">
        <v>83</v>
      </c>
      <c r="AR173" s="5">
        <v>132</v>
      </c>
      <c r="AS173" s="5">
        <v>86</v>
      </c>
      <c r="AT173" s="5">
        <v>83</v>
      </c>
      <c r="AU173" s="5"/>
      <c r="AV173" s="8">
        <f t="shared" si="124"/>
        <v>100.33333333333333</v>
      </c>
      <c r="AW173" s="8">
        <f t="shared" si="128"/>
        <v>93.8</v>
      </c>
      <c r="AX173" s="8">
        <f t="shared" si="129"/>
        <v>108.6</v>
      </c>
      <c r="AY173" s="8"/>
      <c r="AZ173" s="47">
        <f t="shared" si="130"/>
        <v>-0.2357274401473296</v>
      </c>
      <c r="BA173" s="15"/>
    </row>
    <row r="174" spans="2:53" ht="11.25" customHeight="1">
      <c r="B174" s="5"/>
      <c r="C174" s="5"/>
      <c r="D174" s="5" t="s">
        <v>41</v>
      </c>
      <c r="E174" s="5">
        <v>96</v>
      </c>
      <c r="F174" s="5">
        <v>85</v>
      </c>
      <c r="G174" s="5">
        <v>85</v>
      </c>
      <c r="H174" s="5">
        <v>45</v>
      </c>
      <c r="I174" s="5">
        <v>43</v>
      </c>
      <c r="J174" s="5">
        <v>43</v>
      </c>
      <c r="K174" s="5">
        <v>35</v>
      </c>
      <c r="L174" s="5">
        <v>46</v>
      </c>
      <c r="M174" s="5">
        <v>27</v>
      </c>
      <c r="N174" s="5">
        <v>39</v>
      </c>
      <c r="O174" s="5">
        <v>30</v>
      </c>
      <c r="P174" s="5">
        <v>39</v>
      </c>
      <c r="Q174" s="5">
        <v>54</v>
      </c>
      <c r="R174" s="5">
        <v>55</v>
      </c>
      <c r="S174" s="5">
        <f>59+10</f>
        <v>69</v>
      </c>
      <c r="T174" s="5">
        <v>55</v>
      </c>
      <c r="U174" s="5">
        <v>69</v>
      </c>
      <c r="V174" s="5">
        <v>63</v>
      </c>
      <c r="W174" s="5">
        <v>74</v>
      </c>
      <c r="X174" s="5">
        <f>12+55</f>
        <v>67</v>
      </c>
      <c r="Y174" s="5">
        <f>15+41</f>
        <v>56</v>
      </c>
      <c r="Z174" s="5">
        <f>15+34</f>
        <v>49</v>
      </c>
      <c r="AA174" s="5">
        <f>14+32</f>
        <v>46</v>
      </c>
      <c r="AB174" s="5">
        <f>10+20+11+14</f>
        <v>55</v>
      </c>
      <c r="AC174" s="5">
        <f>9+27+14+18</f>
        <v>68</v>
      </c>
      <c r="AD174" s="5">
        <f>3+7+21+20</f>
        <v>51</v>
      </c>
      <c r="AE174" s="5">
        <v>46</v>
      </c>
      <c r="AF174" s="5">
        <v>116</v>
      </c>
      <c r="AG174" s="5">
        <v>77</v>
      </c>
      <c r="AH174" s="5">
        <v>49</v>
      </c>
      <c r="AI174" s="5">
        <v>34</v>
      </c>
      <c r="AJ174" s="5">
        <v>36</v>
      </c>
      <c r="AK174" s="5">
        <v>54</v>
      </c>
      <c r="AL174" s="5">
        <v>62</v>
      </c>
      <c r="AM174" s="5">
        <v>57</v>
      </c>
      <c r="AN174" s="5">
        <v>57</v>
      </c>
      <c r="AO174" s="5">
        <v>89</v>
      </c>
      <c r="AP174" s="5">
        <v>56</v>
      </c>
      <c r="AQ174" s="5">
        <v>58</v>
      </c>
      <c r="AR174" s="5">
        <v>57</v>
      </c>
      <c r="AS174" s="5">
        <v>63</v>
      </c>
      <c r="AT174" s="5">
        <v>69</v>
      </c>
      <c r="AU174" s="5"/>
      <c r="AV174" s="8">
        <f t="shared" si="124"/>
        <v>63</v>
      </c>
      <c r="AW174" s="8">
        <f t="shared" si="128"/>
        <v>60.6</v>
      </c>
      <c r="AX174" s="8">
        <f t="shared" si="129"/>
        <v>62.2</v>
      </c>
      <c r="AY174" s="8"/>
      <c r="AZ174" s="47">
        <f t="shared" si="130"/>
        <v>0.10932475884244368</v>
      </c>
      <c r="BA174" s="15"/>
    </row>
    <row r="175" spans="2:53" ht="11.25" customHeight="1">
      <c r="B175" s="5"/>
      <c r="C175" s="5" t="s">
        <v>289</v>
      </c>
      <c r="D175" s="5" t="s">
        <v>310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>
        <v>0</v>
      </c>
      <c r="AR175" s="5">
        <v>1</v>
      </c>
      <c r="AS175" s="5">
        <v>3</v>
      </c>
      <c r="AT175" s="5">
        <v>1</v>
      </c>
      <c r="AU175" s="46"/>
      <c r="AV175" s="8">
        <f t="shared" si="124"/>
        <v>1.6666666666666667</v>
      </c>
      <c r="AW175" s="6" t="s">
        <v>125</v>
      </c>
      <c r="AX175" s="6" t="s">
        <v>125</v>
      </c>
      <c r="AY175" s="15"/>
      <c r="AZ175" s="15"/>
      <c r="BA175" s="15"/>
    </row>
    <row r="176" spans="2:53" ht="11.25" customHeight="1">
      <c r="B176" s="5"/>
      <c r="C176" s="36" t="s">
        <v>87</v>
      </c>
      <c r="D176" s="5" t="s">
        <v>39</v>
      </c>
      <c r="E176" s="36"/>
      <c r="F176" s="5"/>
      <c r="G176" s="5"/>
      <c r="H176" s="5">
        <v>20</v>
      </c>
      <c r="I176" s="5">
        <v>23</v>
      </c>
      <c r="J176" s="5">
        <v>14</v>
      </c>
      <c r="K176" s="5">
        <v>16</v>
      </c>
      <c r="L176" s="5">
        <v>8</v>
      </c>
      <c r="M176" s="5">
        <v>13</v>
      </c>
      <c r="N176" s="5">
        <v>5</v>
      </c>
      <c r="O176" s="5">
        <v>13</v>
      </c>
      <c r="P176" s="5">
        <v>17</v>
      </c>
      <c r="Q176" s="5">
        <v>11</v>
      </c>
      <c r="R176" s="5">
        <v>21</v>
      </c>
      <c r="S176" s="5">
        <v>13</v>
      </c>
      <c r="T176" s="5">
        <v>16</v>
      </c>
      <c r="U176" s="5">
        <v>16</v>
      </c>
      <c r="V176" s="5">
        <v>8</v>
      </c>
      <c r="W176" s="5">
        <f>8+7</f>
        <v>15</v>
      </c>
      <c r="X176" s="5">
        <f>11+6</f>
        <v>17</v>
      </c>
      <c r="Y176" s="5">
        <f>2+15</f>
        <v>17</v>
      </c>
      <c r="Z176" s="36">
        <f>1+19</f>
        <v>20</v>
      </c>
      <c r="AA176" s="36">
        <v>12</v>
      </c>
      <c r="AB176" s="36">
        <f>1+17</f>
        <v>18</v>
      </c>
      <c r="AC176" s="36">
        <f>6+12</f>
        <v>18</v>
      </c>
      <c r="AD176" s="36">
        <f>2+19</f>
        <v>21</v>
      </c>
      <c r="AE176" s="36">
        <v>20</v>
      </c>
      <c r="AF176" s="36">
        <v>26</v>
      </c>
      <c r="AG176" s="5">
        <v>30</v>
      </c>
      <c r="AH176" s="5">
        <v>20</v>
      </c>
      <c r="AI176" s="5">
        <v>14</v>
      </c>
      <c r="AJ176" s="5">
        <v>30</v>
      </c>
      <c r="AK176" s="5">
        <v>30</v>
      </c>
      <c r="AL176" s="5">
        <v>23</v>
      </c>
      <c r="AM176" s="5">
        <v>14</v>
      </c>
      <c r="AN176" s="5">
        <v>27</v>
      </c>
      <c r="AO176" s="5">
        <v>8</v>
      </c>
      <c r="AP176" s="5">
        <v>12</v>
      </c>
      <c r="AQ176" s="5">
        <v>10</v>
      </c>
      <c r="AR176" s="5">
        <v>14</v>
      </c>
      <c r="AS176" s="5">
        <v>8</v>
      </c>
      <c r="AT176" s="5">
        <v>6</v>
      </c>
      <c r="AU176" s="36"/>
      <c r="AV176" s="8">
        <f t="shared" si="124"/>
        <v>9.3333333333333339</v>
      </c>
      <c r="AW176" s="8">
        <f t="shared" ref="AW176:AW179" si="131">IF(SUM(AP176:AT176)&gt;=0,AVERAGE(AP176:AT176),"")</f>
        <v>10</v>
      </c>
      <c r="AX176" s="8">
        <f t="shared" ref="AX176:AX179" si="132">IF(SUM(AK176:AT176)&gt;=0,AVERAGE(AK176:AT176),"")</f>
        <v>15.2</v>
      </c>
      <c r="AY176" s="8"/>
      <c r="AZ176" s="47">
        <f t="shared" ref="AZ176:AZ179" si="133">(AT176-AX176)/AX176</f>
        <v>-0.60526315789473684</v>
      </c>
      <c r="BA176" s="15"/>
    </row>
    <row r="177" spans="2:53" ht="11.25" customHeight="1">
      <c r="B177" s="5"/>
      <c r="C177" s="5" t="s">
        <v>64</v>
      </c>
      <c r="D177" s="5" t="s">
        <v>39</v>
      </c>
      <c r="E177" s="5">
        <v>46</v>
      </c>
      <c r="F177" s="5">
        <v>36</v>
      </c>
      <c r="G177" s="5">
        <v>22</v>
      </c>
      <c r="H177" s="5">
        <v>25</v>
      </c>
      <c r="I177" s="5">
        <v>30</v>
      </c>
      <c r="J177" s="5">
        <v>20</v>
      </c>
      <c r="K177" s="5">
        <v>20</v>
      </c>
      <c r="L177" s="5">
        <v>22</v>
      </c>
      <c r="M177" s="5">
        <v>24</v>
      </c>
      <c r="N177" s="5">
        <v>23</v>
      </c>
      <c r="O177" s="5">
        <v>27</v>
      </c>
      <c r="P177" s="5">
        <v>39</v>
      </c>
      <c r="Q177" s="5">
        <v>28</v>
      </c>
      <c r="R177" s="5">
        <v>48</v>
      </c>
      <c r="S177" s="5">
        <f>1+2+4+8+6+5+2+2</f>
        <v>30</v>
      </c>
      <c r="T177" s="5">
        <v>58</v>
      </c>
      <c r="U177" s="5">
        <v>60</v>
      </c>
      <c r="V177" s="5">
        <v>60</v>
      </c>
      <c r="W177" s="5">
        <v>59</v>
      </c>
      <c r="X177" s="5">
        <f>5+6+1+15+2+9+6+1+7</f>
        <v>52</v>
      </c>
      <c r="Y177" s="5">
        <f>3+9+2+18+15+6+1+2</f>
        <v>56</v>
      </c>
      <c r="Z177" s="5">
        <f>5+6+2+13+1+33+9+1+4+1</f>
        <v>75</v>
      </c>
      <c r="AA177" s="5">
        <v>46</v>
      </c>
      <c r="AB177" s="5">
        <f>24+21</f>
        <v>45</v>
      </c>
      <c r="AC177" s="5">
        <f>16+35</f>
        <v>51</v>
      </c>
      <c r="AD177" s="5">
        <f>6+31</f>
        <v>37</v>
      </c>
      <c r="AE177" s="5">
        <v>39</v>
      </c>
      <c r="AF177" s="5">
        <v>31</v>
      </c>
      <c r="AG177" s="5">
        <v>29</v>
      </c>
      <c r="AH177" s="5">
        <v>38</v>
      </c>
      <c r="AI177" s="5">
        <v>32</v>
      </c>
      <c r="AJ177" s="5">
        <v>48</v>
      </c>
      <c r="AK177" s="5">
        <v>33</v>
      </c>
      <c r="AL177" s="5">
        <v>30</v>
      </c>
      <c r="AM177" s="5">
        <v>44</v>
      </c>
      <c r="AN177" s="5">
        <v>35</v>
      </c>
      <c r="AO177" s="5">
        <v>42</v>
      </c>
      <c r="AP177" s="5">
        <v>33</v>
      </c>
      <c r="AQ177" s="5">
        <v>29</v>
      </c>
      <c r="AR177" s="5">
        <v>25</v>
      </c>
      <c r="AS177" s="5">
        <v>12</v>
      </c>
      <c r="AT177" s="5">
        <v>26</v>
      </c>
      <c r="AU177" s="5"/>
      <c r="AV177" s="8">
        <f t="shared" si="124"/>
        <v>21</v>
      </c>
      <c r="AW177" s="8">
        <f t="shared" si="131"/>
        <v>25</v>
      </c>
      <c r="AX177" s="8">
        <f t="shared" si="132"/>
        <v>30.9</v>
      </c>
      <c r="AY177" s="8"/>
      <c r="AZ177" s="47">
        <f t="shared" si="133"/>
        <v>-0.15857605177993522</v>
      </c>
      <c r="BA177" s="15"/>
    </row>
    <row r="178" spans="2:53" ht="11.25" customHeight="1">
      <c r="B178" s="5"/>
      <c r="C178" s="36"/>
      <c r="D178" s="5" t="s">
        <v>41</v>
      </c>
      <c r="E178" s="5">
        <v>41</v>
      </c>
      <c r="F178" s="5">
        <v>45</v>
      </c>
      <c r="G178" s="5">
        <v>42</v>
      </c>
      <c r="H178" s="5">
        <v>48</v>
      </c>
      <c r="I178" s="5">
        <v>44</v>
      </c>
      <c r="J178" s="5">
        <v>27</v>
      </c>
      <c r="K178" s="5">
        <v>25</v>
      </c>
      <c r="L178" s="5">
        <v>35</v>
      </c>
      <c r="M178" s="5">
        <v>46</v>
      </c>
      <c r="N178" s="5">
        <v>51</v>
      </c>
      <c r="O178" s="5">
        <v>33</v>
      </c>
      <c r="P178" s="5">
        <v>59</v>
      </c>
      <c r="Q178" s="5">
        <v>34</v>
      </c>
      <c r="R178" s="5">
        <v>77</v>
      </c>
      <c r="S178" s="5">
        <f>15+17+25</f>
        <v>57</v>
      </c>
      <c r="T178" s="5">
        <v>56</v>
      </c>
      <c r="U178" s="5">
        <v>69</v>
      </c>
      <c r="V178" s="5">
        <v>33</v>
      </c>
      <c r="W178" s="5">
        <v>44</v>
      </c>
      <c r="X178" s="5">
        <f>18+9+21</f>
        <v>48</v>
      </c>
      <c r="Y178" s="5">
        <f>21+11+11</f>
        <v>43</v>
      </c>
      <c r="Z178" s="5">
        <f>22+8+20</f>
        <v>50</v>
      </c>
      <c r="AA178" s="5">
        <f>15+6+17</f>
        <v>38</v>
      </c>
      <c r="AB178" s="5">
        <f>16+30</f>
        <v>46</v>
      </c>
      <c r="AC178" s="5">
        <f>9+27</f>
        <v>36</v>
      </c>
      <c r="AD178" s="5">
        <f>4+32</f>
        <v>36</v>
      </c>
      <c r="AE178" s="5">
        <v>55</v>
      </c>
      <c r="AF178" s="5">
        <v>50</v>
      </c>
      <c r="AG178" s="5">
        <v>58</v>
      </c>
      <c r="AH178" s="5">
        <v>38</v>
      </c>
      <c r="AI178" s="5">
        <v>52</v>
      </c>
      <c r="AJ178" s="5">
        <v>49</v>
      </c>
      <c r="AK178" s="5">
        <v>67</v>
      </c>
      <c r="AL178" s="5">
        <v>119</v>
      </c>
      <c r="AM178" s="5">
        <v>102</v>
      </c>
      <c r="AN178" s="5">
        <v>134</v>
      </c>
      <c r="AO178" s="5">
        <v>121</v>
      </c>
      <c r="AP178" s="5">
        <v>99</v>
      </c>
      <c r="AQ178" s="5">
        <v>76</v>
      </c>
      <c r="AR178" s="5">
        <v>72</v>
      </c>
      <c r="AS178" s="5">
        <v>74</v>
      </c>
      <c r="AT178" s="5">
        <v>79</v>
      </c>
      <c r="AU178" s="5"/>
      <c r="AV178" s="8">
        <f t="shared" si="124"/>
        <v>75</v>
      </c>
      <c r="AW178" s="8">
        <f t="shared" si="131"/>
        <v>80</v>
      </c>
      <c r="AX178" s="8">
        <f t="shared" si="132"/>
        <v>94.3</v>
      </c>
      <c r="AY178" s="8"/>
      <c r="AZ178" s="47">
        <f t="shared" si="133"/>
        <v>-0.16224814422057263</v>
      </c>
      <c r="BA178" s="15"/>
    </row>
    <row r="179" spans="2:53" ht="11.25" customHeight="1">
      <c r="B179" s="5"/>
      <c r="C179" s="5" t="s">
        <v>287</v>
      </c>
      <c r="D179" s="5" t="s">
        <v>221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4</v>
      </c>
      <c r="AS179" s="5">
        <v>4</v>
      </c>
      <c r="AT179" s="5">
        <v>4</v>
      </c>
      <c r="AU179" s="5"/>
      <c r="AV179" s="8">
        <f t="shared" si="124"/>
        <v>4</v>
      </c>
      <c r="AW179" s="8">
        <f t="shared" si="131"/>
        <v>2.4</v>
      </c>
      <c r="AX179" s="8">
        <f t="shared" si="132"/>
        <v>1.2</v>
      </c>
      <c r="AY179" s="8"/>
      <c r="AZ179" s="47">
        <f t="shared" si="133"/>
        <v>2.3333333333333335</v>
      </c>
      <c r="BA179" s="15"/>
    </row>
    <row r="180" spans="2:53" ht="11.25" customHeight="1">
      <c r="B180" s="5"/>
      <c r="C180" s="5" t="s">
        <v>42</v>
      </c>
      <c r="D180" s="5" t="s">
        <v>341</v>
      </c>
      <c r="E180" s="5"/>
      <c r="F180" s="5">
        <v>60</v>
      </c>
      <c r="G180" s="5">
        <v>50</v>
      </c>
      <c r="H180" s="5">
        <v>48</v>
      </c>
      <c r="I180" s="5">
        <v>59</v>
      </c>
      <c r="J180" s="5">
        <v>47</v>
      </c>
      <c r="K180" s="5">
        <v>25</v>
      </c>
      <c r="L180" s="5">
        <v>27</v>
      </c>
      <c r="M180" s="5">
        <v>33</v>
      </c>
      <c r="N180" s="5">
        <v>24</v>
      </c>
      <c r="O180" s="5">
        <v>34</v>
      </c>
      <c r="P180" s="5">
        <v>24</v>
      </c>
      <c r="Q180" s="5">
        <v>22</v>
      </c>
      <c r="R180" s="5">
        <v>23</v>
      </c>
      <c r="S180" s="5">
        <v>59</v>
      </c>
      <c r="T180" s="5">
        <v>71</v>
      </c>
      <c r="U180" s="5">
        <v>99</v>
      </c>
      <c r="V180" s="5">
        <v>106</v>
      </c>
      <c r="W180" s="5">
        <v>78</v>
      </c>
      <c r="X180" s="5">
        <v>74</v>
      </c>
      <c r="Y180" s="5">
        <v>89</v>
      </c>
      <c r="Z180" s="5">
        <f>64+1</f>
        <v>65</v>
      </c>
      <c r="AA180" s="5">
        <v>55</v>
      </c>
      <c r="AB180" s="5">
        <f>33+27</f>
        <v>60</v>
      </c>
      <c r="AC180" s="5">
        <f>14+29</f>
        <v>43</v>
      </c>
      <c r="AD180" s="5">
        <f>9+26</f>
        <v>35</v>
      </c>
      <c r="AE180" s="5">
        <v>19</v>
      </c>
      <c r="AF180" s="5">
        <v>20</v>
      </c>
      <c r="AG180" s="5">
        <v>15</v>
      </c>
      <c r="AH180" s="5">
        <v>19</v>
      </c>
      <c r="AI180" s="5">
        <v>18</v>
      </c>
      <c r="AJ180" s="5">
        <v>21</v>
      </c>
      <c r="AK180" s="5">
        <v>12</v>
      </c>
      <c r="AL180" s="5">
        <v>17</v>
      </c>
      <c r="AM180" s="5">
        <v>14</v>
      </c>
      <c r="AN180" s="5">
        <v>22</v>
      </c>
      <c r="AO180" s="5">
        <v>22</v>
      </c>
      <c r="AP180" s="5">
        <v>20</v>
      </c>
      <c r="AQ180" s="5">
        <v>13</v>
      </c>
      <c r="AR180" s="5">
        <v>4</v>
      </c>
      <c r="AS180" s="5"/>
      <c r="AT180" s="5"/>
      <c r="AU180" s="5"/>
      <c r="AV180" s="8" t="s">
        <v>125</v>
      </c>
      <c r="AW180" s="8" t="s">
        <v>125</v>
      </c>
      <c r="AX180" s="6" t="s">
        <v>125</v>
      </c>
      <c r="AY180" s="15"/>
      <c r="AZ180" s="15"/>
      <c r="BA180" s="15"/>
    </row>
    <row r="181" spans="2:53" ht="11.25" customHeight="1">
      <c r="B181" s="5"/>
      <c r="C181" s="5"/>
      <c r="D181" s="5" t="s">
        <v>41</v>
      </c>
      <c r="E181" s="5"/>
      <c r="F181" s="5"/>
      <c r="G181" s="5"/>
      <c r="H181" s="5">
        <v>32</v>
      </c>
      <c r="I181" s="5">
        <v>46</v>
      </c>
      <c r="J181" s="5">
        <v>34</v>
      </c>
      <c r="K181" s="5">
        <v>38</v>
      </c>
      <c r="L181" s="5">
        <v>32</v>
      </c>
      <c r="M181" s="5">
        <v>23</v>
      </c>
      <c r="N181" s="5">
        <v>25</v>
      </c>
      <c r="O181" s="5">
        <v>17</v>
      </c>
      <c r="P181" s="5">
        <v>24</v>
      </c>
      <c r="Q181" s="5">
        <v>18</v>
      </c>
      <c r="R181" s="5">
        <v>19</v>
      </c>
      <c r="S181" s="5">
        <f>7+6+13</f>
        <v>26</v>
      </c>
      <c r="T181" s="5">
        <v>17</v>
      </c>
      <c r="U181" s="5">
        <v>30</v>
      </c>
      <c r="V181" s="5">
        <v>39</v>
      </c>
      <c r="W181" s="5">
        <v>38</v>
      </c>
      <c r="X181" s="5">
        <f>1+13+8+13+5</f>
        <v>40</v>
      </c>
      <c r="Y181" s="5">
        <f>6+8+14</f>
        <v>28</v>
      </c>
      <c r="Z181" s="5">
        <f>8+5+20+1</f>
        <v>34</v>
      </c>
      <c r="AA181" s="5">
        <f>4+8+13+1</f>
        <v>26</v>
      </c>
      <c r="AB181" s="5">
        <f>7+19</f>
        <v>26</v>
      </c>
      <c r="AC181" s="5">
        <f>6+17</f>
        <v>23</v>
      </c>
      <c r="AD181" s="5">
        <f>9+49</f>
        <v>58</v>
      </c>
      <c r="AE181" s="5">
        <v>62</v>
      </c>
      <c r="AF181" s="5">
        <v>59</v>
      </c>
      <c r="AG181" s="5">
        <v>55</v>
      </c>
      <c r="AH181" s="5">
        <v>37</v>
      </c>
      <c r="AI181" s="5">
        <v>50</v>
      </c>
      <c r="AJ181" s="5">
        <v>55</v>
      </c>
      <c r="AK181" s="5">
        <v>34</v>
      </c>
      <c r="AL181" s="5">
        <v>36</v>
      </c>
      <c r="AM181" s="5">
        <v>24</v>
      </c>
      <c r="AN181" s="5">
        <v>28</v>
      </c>
      <c r="AO181" s="5">
        <v>39</v>
      </c>
      <c r="AP181" s="5">
        <v>31</v>
      </c>
      <c r="AQ181" s="5">
        <v>43</v>
      </c>
      <c r="AR181" s="5">
        <v>32</v>
      </c>
      <c r="AS181" s="5">
        <v>29</v>
      </c>
      <c r="AT181" s="5">
        <v>26</v>
      </c>
      <c r="AU181" s="5"/>
      <c r="AV181" s="8">
        <f t="shared" ref="AV181:AV182" si="134">IF(SUM(AR181:AT181)&gt;=0,AVERAGE(AR181:AT181),"")</f>
        <v>29</v>
      </c>
      <c r="AW181" s="8">
        <f t="shared" ref="AW181:AW182" si="135">IF(SUM(AP181:AT181)&gt;=0,AVERAGE(AP181:AT181),"")</f>
        <v>32.200000000000003</v>
      </c>
      <c r="AX181" s="8">
        <f t="shared" ref="AX181:AX182" si="136">IF(SUM(AK181:AT181)&gt;=0,AVERAGE(AK181:AT181),"")</f>
        <v>32.200000000000003</v>
      </c>
      <c r="AY181" s="8"/>
      <c r="AZ181" s="47">
        <f t="shared" ref="AZ181:AZ182" si="137">(AT181-AX181)/AX181</f>
        <v>-0.19254658385093174</v>
      </c>
      <c r="BA181" s="15"/>
    </row>
    <row r="182" spans="2:53" ht="11.25" customHeight="1">
      <c r="B182" s="5"/>
      <c r="C182" s="5" t="s">
        <v>208</v>
      </c>
      <c r="D182" s="5" t="s">
        <v>221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>
        <v>0</v>
      </c>
      <c r="AK182" s="5">
        <v>3</v>
      </c>
      <c r="AL182" s="5">
        <v>4</v>
      </c>
      <c r="AM182" s="5">
        <v>8</v>
      </c>
      <c r="AN182" s="5">
        <v>4</v>
      </c>
      <c r="AO182" s="5">
        <v>9</v>
      </c>
      <c r="AP182" s="5">
        <v>8</v>
      </c>
      <c r="AQ182" s="5">
        <v>9</v>
      </c>
      <c r="AR182" s="5">
        <v>12</v>
      </c>
      <c r="AS182" s="5">
        <v>3</v>
      </c>
      <c r="AT182" s="5">
        <v>5</v>
      </c>
      <c r="AU182" s="5"/>
      <c r="AV182" s="8">
        <f t="shared" si="134"/>
        <v>6.666666666666667</v>
      </c>
      <c r="AW182" s="8">
        <f t="shared" si="135"/>
        <v>7.4</v>
      </c>
      <c r="AX182" s="8">
        <f t="shared" si="136"/>
        <v>6.5</v>
      </c>
      <c r="AY182" s="8"/>
      <c r="AZ182" s="47">
        <f t="shared" si="137"/>
        <v>-0.23076923076923078</v>
      </c>
      <c r="BA182" s="15"/>
    </row>
    <row r="183" spans="2:53" ht="11.2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10"/>
      <c r="AW183" s="10"/>
      <c r="AX183" s="10"/>
      <c r="AY183" s="15"/>
      <c r="AZ183" s="15"/>
      <c r="BA183" s="15"/>
    </row>
    <row r="184" spans="2:53" ht="11.25" customHeight="1">
      <c r="B184" s="5" t="s">
        <v>58</v>
      </c>
      <c r="C184" s="5"/>
      <c r="D184" s="49" t="s">
        <v>2</v>
      </c>
      <c r="E184" s="5">
        <f t="shared" ref="E184:AC184" si="138">E170+E173+E176+E177+E180</f>
        <v>189</v>
      </c>
      <c r="F184" s="5">
        <f t="shared" si="138"/>
        <v>209</v>
      </c>
      <c r="G184" s="5">
        <f t="shared" si="138"/>
        <v>177</v>
      </c>
      <c r="H184" s="5">
        <f t="shared" si="138"/>
        <v>176</v>
      </c>
      <c r="I184" s="50">
        <f t="shared" si="138"/>
        <v>193</v>
      </c>
      <c r="J184" s="50">
        <f t="shared" si="138"/>
        <v>150</v>
      </c>
      <c r="K184" s="50">
        <f t="shared" si="138"/>
        <v>112</v>
      </c>
      <c r="L184" s="50">
        <f t="shared" si="138"/>
        <v>131</v>
      </c>
      <c r="M184" s="50">
        <f t="shared" si="138"/>
        <v>163</v>
      </c>
      <c r="N184" s="50">
        <f t="shared" si="138"/>
        <v>143</v>
      </c>
      <c r="O184" s="50">
        <f t="shared" si="138"/>
        <v>195</v>
      </c>
      <c r="P184" s="50">
        <f t="shared" si="138"/>
        <v>226</v>
      </c>
      <c r="Q184" s="50">
        <f t="shared" si="138"/>
        <v>226</v>
      </c>
      <c r="R184" s="50">
        <f t="shared" si="138"/>
        <v>295</v>
      </c>
      <c r="S184" s="50">
        <f t="shared" si="138"/>
        <v>299</v>
      </c>
      <c r="T184" s="50">
        <f t="shared" si="138"/>
        <v>334</v>
      </c>
      <c r="U184" s="50">
        <f t="shared" si="138"/>
        <v>350</v>
      </c>
      <c r="V184" s="50">
        <f t="shared" si="138"/>
        <v>342</v>
      </c>
      <c r="W184" s="50">
        <f t="shared" si="138"/>
        <v>307</v>
      </c>
      <c r="X184" s="50">
        <f t="shared" si="138"/>
        <v>347</v>
      </c>
      <c r="Y184" s="50">
        <f t="shared" si="138"/>
        <v>336</v>
      </c>
      <c r="Z184" s="50">
        <f t="shared" si="138"/>
        <v>309</v>
      </c>
      <c r="AA184" s="50">
        <f t="shared" si="138"/>
        <v>289</v>
      </c>
      <c r="AB184" s="50">
        <f t="shared" si="138"/>
        <v>322</v>
      </c>
      <c r="AC184" s="50">
        <f t="shared" si="138"/>
        <v>306</v>
      </c>
      <c r="AD184" s="50">
        <f t="shared" ref="AD184:AI184" si="139">AD170+AD172+AD173+AD176+AD177+AD180</f>
        <v>271</v>
      </c>
      <c r="AE184" s="50">
        <f t="shared" si="139"/>
        <v>289</v>
      </c>
      <c r="AF184" s="50">
        <f t="shared" si="139"/>
        <v>276</v>
      </c>
      <c r="AG184" s="50">
        <f t="shared" si="139"/>
        <v>247</v>
      </c>
      <c r="AH184" s="50">
        <f t="shared" si="139"/>
        <v>260</v>
      </c>
      <c r="AI184" s="50">
        <f t="shared" si="139"/>
        <v>230</v>
      </c>
      <c r="AJ184" s="50">
        <f t="shared" ref="AJ184:AO184" si="140">AJ170+AJ172+AJ173+AJ176+AJ177+AJ180</f>
        <v>271</v>
      </c>
      <c r="AK184" s="50">
        <f t="shared" si="140"/>
        <v>229</v>
      </c>
      <c r="AL184" s="50">
        <f t="shared" si="140"/>
        <v>256</v>
      </c>
      <c r="AM184" s="50">
        <f t="shared" si="140"/>
        <v>223</v>
      </c>
      <c r="AN184" s="50">
        <f t="shared" si="140"/>
        <v>234</v>
      </c>
      <c r="AO184" s="50">
        <f t="shared" si="140"/>
        <v>205</v>
      </c>
      <c r="AP184" s="50">
        <f t="shared" ref="AP184:AQ184" si="141">AP170+AP172+AP173+AP176+AP177+AP180</f>
        <v>198</v>
      </c>
      <c r="AQ184" s="50">
        <f t="shared" si="141"/>
        <v>187</v>
      </c>
      <c r="AR184" s="50">
        <f t="shared" ref="AR184" si="142">AR170+AR172+AR173+AR176+AR177+AR180</f>
        <v>212</v>
      </c>
      <c r="AS184" s="50">
        <f>AS170+AS172+AS173+AS176+AS177</f>
        <v>145</v>
      </c>
      <c r="AT184" s="50">
        <f>AT170+AT172+AT173+AT176+AT177</f>
        <v>145</v>
      </c>
      <c r="AU184" s="50"/>
      <c r="AV184" s="8">
        <f t="shared" ref="AV184:AV188" si="143">IF(SUM(AR184:AT184)&gt;=0,AVERAGE(AR184:AT184),"")</f>
        <v>167.33333333333334</v>
      </c>
      <c r="AW184" s="8">
        <f t="shared" ref="AW184:AW188" si="144">IF(SUM(AP184:AT184)&gt;=0,AVERAGE(AP184:AT184),"")</f>
        <v>177.4</v>
      </c>
      <c r="AX184" s="8">
        <f t="shared" ref="AX184:AX188" si="145">IF(SUM(AK184:AT184)&gt;=0,AVERAGE(AK184:AT184),"")</f>
        <v>203.4</v>
      </c>
      <c r="AY184" s="8"/>
      <c r="AZ184" s="47">
        <f t="shared" ref="AZ184:AZ188" si="146">(AT184-AX184)/AX184</f>
        <v>-0.28711897738446412</v>
      </c>
      <c r="BA184" s="15"/>
    </row>
    <row r="185" spans="2:53" ht="11.25" customHeight="1">
      <c r="B185" s="5"/>
      <c r="C185" s="5"/>
      <c r="D185" s="49" t="s">
        <v>121</v>
      </c>
      <c r="E185" s="5"/>
      <c r="F185" s="5"/>
      <c r="G185" s="5"/>
      <c r="H185" s="5"/>
      <c r="I185" s="50"/>
      <c r="J185" s="50"/>
      <c r="K185" s="46" t="s">
        <v>124</v>
      </c>
      <c r="L185" s="46" t="s">
        <v>124</v>
      </c>
      <c r="M185" s="46" t="s">
        <v>124</v>
      </c>
      <c r="N185" s="46" t="s">
        <v>124</v>
      </c>
      <c r="O185" s="46" t="s">
        <v>124</v>
      </c>
      <c r="P185" s="46" t="s">
        <v>124</v>
      </c>
      <c r="Q185" s="46" t="s">
        <v>124</v>
      </c>
      <c r="R185" s="46" t="s">
        <v>124</v>
      </c>
      <c r="S185" s="46" t="s">
        <v>124</v>
      </c>
      <c r="T185" s="46" t="s">
        <v>124</v>
      </c>
      <c r="U185" s="46" t="s">
        <v>124</v>
      </c>
      <c r="V185" s="46" t="s">
        <v>124</v>
      </c>
      <c r="W185" s="46"/>
      <c r="X185" s="46"/>
      <c r="Y185" s="46"/>
      <c r="Z185" s="46"/>
      <c r="AA185" s="46"/>
      <c r="AB185" s="46"/>
      <c r="AC185" s="46"/>
      <c r="AD185" s="46"/>
      <c r="AE185" s="50">
        <f>AE160+AE165</f>
        <v>5</v>
      </c>
      <c r="AF185" s="50">
        <f>AF160+AF165</f>
        <v>6</v>
      </c>
      <c r="AG185" s="50">
        <f>AG160+AG165</f>
        <v>11</v>
      </c>
      <c r="AH185" s="50">
        <f>AH160+AH165</f>
        <v>8</v>
      </c>
      <c r="AI185" s="50">
        <f>AI160</f>
        <v>1</v>
      </c>
      <c r="AJ185" s="50">
        <f>AJ179+AJ160+AJ164</f>
        <v>4</v>
      </c>
      <c r="AK185" s="50">
        <f>AK179+AK182+AK160+AK164+AK169</f>
        <v>5</v>
      </c>
      <c r="AL185" s="50">
        <f>AL179+AL182+AL160+AL164+AL169</f>
        <v>10</v>
      </c>
      <c r="AM185" s="50">
        <f>AM179+AM182+AM160+AM164+AM169</f>
        <v>21</v>
      </c>
      <c r="AN185" s="50">
        <f>AN179+AN182+AN160+AN164+AN169</f>
        <v>21</v>
      </c>
      <c r="AO185" s="50">
        <f>AO179+AO182+AO160+AO161+AO164+AO169</f>
        <v>25</v>
      </c>
      <c r="AP185" s="50">
        <f>AP179+AP182+AP160+AP161+AP164+AP169</f>
        <v>23</v>
      </c>
      <c r="AQ185" s="50">
        <f>AQ179+AQ153+AQ182+AQ160+AQ161+AQ164+AQ168+AQ169+AQ171+AQ175</f>
        <v>36</v>
      </c>
      <c r="AR185" s="50">
        <f>AR179+AR153+AR182+AR160+AR161+AR164+AR168+AR169+AR171+AR175</f>
        <v>38</v>
      </c>
      <c r="AS185" s="50">
        <f>AS179+AS153+AS182+AS160+AS161+AS164+AS168+AS169+AS171+AS175</f>
        <v>33</v>
      </c>
      <c r="AT185" s="50">
        <f>AT179+AT153+AT182+AT160+AT161+AT164+AT168+AT169+AT171+AT175</f>
        <v>36</v>
      </c>
      <c r="AU185" s="50"/>
      <c r="AV185" s="8">
        <f t="shared" si="143"/>
        <v>35.666666666666664</v>
      </c>
      <c r="AW185" s="8">
        <f t="shared" si="144"/>
        <v>33.200000000000003</v>
      </c>
      <c r="AX185" s="8">
        <f t="shared" si="145"/>
        <v>24.8</v>
      </c>
      <c r="AY185" s="8"/>
      <c r="AZ185" s="47">
        <f t="shared" si="146"/>
        <v>0.45161290322580638</v>
      </c>
      <c r="BA185" s="15"/>
    </row>
    <row r="186" spans="2:53" ht="11.25" customHeight="1">
      <c r="B186" s="5"/>
      <c r="C186" s="5"/>
      <c r="D186" s="49" t="s">
        <v>3</v>
      </c>
      <c r="E186" s="5">
        <f t="shared" ref="E186:AE186" si="147">+E155+E158+E174+E178+E181</f>
        <v>231</v>
      </c>
      <c r="F186" s="5">
        <f t="shared" si="147"/>
        <v>239</v>
      </c>
      <c r="G186" s="5">
        <f t="shared" si="147"/>
        <v>223</v>
      </c>
      <c r="H186" s="5">
        <f t="shared" si="147"/>
        <v>230</v>
      </c>
      <c r="I186" s="50">
        <f t="shared" si="147"/>
        <v>215</v>
      </c>
      <c r="J186" s="50">
        <f t="shared" si="147"/>
        <v>182</v>
      </c>
      <c r="K186" s="50">
        <f t="shared" si="147"/>
        <v>170</v>
      </c>
      <c r="L186" s="50">
        <f t="shared" si="147"/>
        <v>209</v>
      </c>
      <c r="M186" s="50">
        <f t="shared" si="147"/>
        <v>157</v>
      </c>
      <c r="N186" s="50">
        <f t="shared" si="147"/>
        <v>206</v>
      </c>
      <c r="O186" s="50">
        <f t="shared" si="147"/>
        <v>201</v>
      </c>
      <c r="P186" s="50">
        <f t="shared" si="147"/>
        <v>264</v>
      </c>
      <c r="Q186" s="50">
        <f t="shared" si="147"/>
        <v>225</v>
      </c>
      <c r="R186" s="50">
        <f t="shared" si="147"/>
        <v>271</v>
      </c>
      <c r="S186" s="50">
        <f t="shared" si="147"/>
        <v>290</v>
      </c>
      <c r="T186" s="50">
        <f t="shared" si="147"/>
        <v>258</v>
      </c>
      <c r="U186" s="50">
        <f t="shared" si="147"/>
        <v>324</v>
      </c>
      <c r="V186" s="50">
        <f t="shared" si="147"/>
        <v>292</v>
      </c>
      <c r="W186" s="50">
        <f t="shared" si="147"/>
        <v>337</v>
      </c>
      <c r="X186" s="50">
        <f t="shared" si="147"/>
        <v>350</v>
      </c>
      <c r="Y186" s="50">
        <f t="shared" si="147"/>
        <v>298</v>
      </c>
      <c r="Z186" s="50">
        <f t="shared" si="147"/>
        <v>289</v>
      </c>
      <c r="AA186" s="50">
        <f t="shared" si="147"/>
        <v>236</v>
      </c>
      <c r="AB186" s="50">
        <f t="shared" si="147"/>
        <v>245</v>
      </c>
      <c r="AC186" s="50">
        <f t="shared" si="147"/>
        <v>227</v>
      </c>
      <c r="AD186" s="50">
        <f t="shared" si="147"/>
        <v>239</v>
      </c>
      <c r="AE186" s="50">
        <f t="shared" si="147"/>
        <v>267</v>
      </c>
      <c r="AF186" s="50">
        <f t="shared" ref="AF186:AK186" si="148">+AF155+AF157+AF158+AF174+AF178+AF181</f>
        <v>333</v>
      </c>
      <c r="AG186" s="50">
        <f t="shared" si="148"/>
        <v>302</v>
      </c>
      <c r="AH186" s="50">
        <f t="shared" si="148"/>
        <v>252</v>
      </c>
      <c r="AI186" s="50">
        <f t="shared" si="148"/>
        <v>255</v>
      </c>
      <c r="AJ186" s="50">
        <f t="shared" si="148"/>
        <v>262</v>
      </c>
      <c r="AK186" s="50">
        <f t="shared" si="148"/>
        <v>287</v>
      </c>
      <c r="AL186" s="50">
        <f>+AL155+AL157+AL158+AL174+AL178+AL181</f>
        <v>340</v>
      </c>
      <c r="AM186" s="50">
        <f>+AM155+AM157+AM158+AM174+AM178+AM181</f>
        <v>301</v>
      </c>
      <c r="AN186" s="50">
        <f>+AN155+AN157+AN158+AN174+AN178+AN181</f>
        <v>336</v>
      </c>
      <c r="AO186" s="50">
        <f t="shared" ref="AO186:AT186" si="149">+AO155+AO157+AO158+AO163+AO174+AO178+AO181</f>
        <v>370</v>
      </c>
      <c r="AP186" s="50">
        <f t="shared" si="149"/>
        <v>308</v>
      </c>
      <c r="AQ186" s="50">
        <f t="shared" si="149"/>
        <v>323</v>
      </c>
      <c r="AR186" s="50">
        <f t="shared" si="149"/>
        <v>282</v>
      </c>
      <c r="AS186" s="50">
        <f t="shared" si="149"/>
        <v>276</v>
      </c>
      <c r="AT186" s="50">
        <f t="shared" si="149"/>
        <v>286</v>
      </c>
      <c r="AU186" s="50"/>
      <c r="AV186" s="8">
        <f t="shared" si="143"/>
        <v>281.33333333333331</v>
      </c>
      <c r="AW186" s="8">
        <f t="shared" si="144"/>
        <v>295</v>
      </c>
      <c r="AX186" s="8">
        <f t="shared" si="145"/>
        <v>310.89999999999998</v>
      </c>
      <c r="AY186" s="8"/>
      <c r="AZ186" s="47">
        <f t="shared" si="146"/>
        <v>-8.0090061112897973E-2</v>
      </c>
      <c r="BA186" s="15"/>
    </row>
    <row r="187" spans="2:53" ht="11.25" customHeight="1">
      <c r="B187" s="5"/>
      <c r="C187" s="5"/>
      <c r="D187" s="5" t="s">
        <v>126</v>
      </c>
      <c r="E187" s="5"/>
      <c r="F187" s="5"/>
      <c r="G187" s="5"/>
      <c r="H187" s="5"/>
      <c r="I187" s="50"/>
      <c r="J187" s="50"/>
      <c r="K187" s="50"/>
      <c r="L187" s="46" t="s">
        <v>124</v>
      </c>
      <c r="M187" s="46" t="s">
        <v>124</v>
      </c>
      <c r="N187" s="46" t="s">
        <v>124</v>
      </c>
      <c r="O187" s="46" t="s">
        <v>124</v>
      </c>
      <c r="P187" s="46" t="s">
        <v>124</v>
      </c>
      <c r="Q187" s="46" t="s">
        <v>124</v>
      </c>
      <c r="R187" s="46" t="s">
        <v>124</v>
      </c>
      <c r="S187" s="46" t="s">
        <v>124</v>
      </c>
      <c r="T187" s="46" t="s">
        <v>124</v>
      </c>
      <c r="U187" s="46" t="s">
        <v>124</v>
      </c>
      <c r="V187" s="46" t="s">
        <v>124</v>
      </c>
      <c r="W187" s="46"/>
      <c r="X187" s="46"/>
      <c r="Y187" s="46"/>
      <c r="Z187" s="46"/>
      <c r="AA187" s="46"/>
      <c r="AB187" s="46"/>
      <c r="AC187" s="46"/>
      <c r="AD187" s="46"/>
      <c r="AE187" s="46"/>
      <c r="AF187" s="50">
        <f t="shared" ref="AF187:AN187" si="150">AF159+AF166</f>
        <v>3</v>
      </c>
      <c r="AG187" s="50">
        <f t="shared" si="150"/>
        <v>29</v>
      </c>
      <c r="AH187" s="50">
        <f t="shared" si="150"/>
        <v>31</v>
      </c>
      <c r="AI187" s="50">
        <f t="shared" si="150"/>
        <v>28</v>
      </c>
      <c r="AJ187" s="50">
        <f t="shared" si="150"/>
        <v>42</v>
      </c>
      <c r="AK187" s="50">
        <f t="shared" si="150"/>
        <v>31</v>
      </c>
      <c r="AL187" s="50">
        <f t="shared" si="150"/>
        <v>22</v>
      </c>
      <c r="AM187" s="50">
        <f t="shared" si="150"/>
        <v>26</v>
      </c>
      <c r="AN187" s="50">
        <f t="shared" si="150"/>
        <v>28</v>
      </c>
      <c r="AO187" s="50">
        <f t="shared" ref="AO187:AT187" si="151">AO159+AO166</f>
        <v>13</v>
      </c>
      <c r="AP187" s="50">
        <f t="shared" si="151"/>
        <v>14</v>
      </c>
      <c r="AQ187" s="50">
        <f t="shared" si="151"/>
        <v>17</v>
      </c>
      <c r="AR187" s="50">
        <f t="shared" si="151"/>
        <v>17</v>
      </c>
      <c r="AS187" s="50">
        <f t="shared" si="151"/>
        <v>9</v>
      </c>
      <c r="AT187" s="50">
        <f t="shared" si="151"/>
        <v>23</v>
      </c>
      <c r="AU187" s="50"/>
      <c r="AV187" s="8">
        <f t="shared" si="143"/>
        <v>16.333333333333332</v>
      </c>
      <c r="AW187" s="8">
        <f t="shared" si="144"/>
        <v>16</v>
      </c>
      <c r="AX187" s="8">
        <f t="shared" si="145"/>
        <v>20</v>
      </c>
      <c r="AY187" s="8"/>
      <c r="AZ187" s="47">
        <f t="shared" si="146"/>
        <v>0.15</v>
      </c>
      <c r="BA187" s="15"/>
    </row>
    <row r="188" spans="2:53" ht="11.25" customHeight="1">
      <c r="B188" s="5"/>
      <c r="C188" s="5"/>
      <c r="D188" s="49" t="s">
        <v>4</v>
      </c>
      <c r="E188" s="5">
        <f t="shared" ref="E188:AT188" si="152">E152</f>
        <v>0</v>
      </c>
      <c r="F188" s="5">
        <f t="shared" si="152"/>
        <v>3</v>
      </c>
      <c r="G188" s="5">
        <f t="shared" si="152"/>
        <v>1</v>
      </c>
      <c r="H188" s="5">
        <f t="shared" si="152"/>
        <v>3</v>
      </c>
      <c r="I188" s="50">
        <f t="shared" si="152"/>
        <v>2</v>
      </c>
      <c r="J188" s="50">
        <f t="shared" si="152"/>
        <v>4</v>
      </c>
      <c r="K188" s="50">
        <f t="shared" si="152"/>
        <v>4</v>
      </c>
      <c r="L188" s="50">
        <f t="shared" si="152"/>
        <v>2</v>
      </c>
      <c r="M188" s="50">
        <f t="shared" si="152"/>
        <v>5</v>
      </c>
      <c r="N188" s="50">
        <f t="shared" si="152"/>
        <v>5</v>
      </c>
      <c r="O188" s="50">
        <f t="shared" si="152"/>
        <v>6</v>
      </c>
      <c r="P188" s="50">
        <f t="shared" si="152"/>
        <v>8</v>
      </c>
      <c r="Q188" s="50">
        <f t="shared" si="152"/>
        <v>9</v>
      </c>
      <c r="R188" s="50">
        <f t="shared" si="152"/>
        <v>14</v>
      </c>
      <c r="S188" s="50">
        <f t="shared" si="152"/>
        <v>7</v>
      </c>
      <c r="T188" s="50">
        <f t="shared" si="152"/>
        <v>5</v>
      </c>
      <c r="U188" s="50">
        <f t="shared" si="152"/>
        <v>8</v>
      </c>
      <c r="V188" s="50">
        <f t="shared" si="152"/>
        <v>6</v>
      </c>
      <c r="W188" s="50">
        <f t="shared" si="152"/>
        <v>10</v>
      </c>
      <c r="X188" s="50">
        <f t="shared" si="152"/>
        <v>7</v>
      </c>
      <c r="Y188" s="50">
        <f t="shared" si="152"/>
        <v>9</v>
      </c>
      <c r="Z188" s="50">
        <f t="shared" si="152"/>
        <v>6</v>
      </c>
      <c r="AA188" s="50">
        <f t="shared" si="152"/>
        <v>6</v>
      </c>
      <c r="AB188" s="50">
        <f t="shared" si="152"/>
        <v>8</v>
      </c>
      <c r="AC188" s="50">
        <f t="shared" si="152"/>
        <v>13</v>
      </c>
      <c r="AD188" s="50">
        <f t="shared" si="152"/>
        <v>20</v>
      </c>
      <c r="AE188" s="50">
        <f t="shared" si="152"/>
        <v>15</v>
      </c>
      <c r="AF188" s="50">
        <f t="shared" si="152"/>
        <v>21</v>
      </c>
      <c r="AG188" s="50">
        <f t="shared" si="152"/>
        <v>24</v>
      </c>
      <c r="AH188" s="50">
        <f t="shared" si="152"/>
        <v>18</v>
      </c>
      <c r="AI188" s="50">
        <f t="shared" si="152"/>
        <v>27</v>
      </c>
      <c r="AJ188" s="50">
        <f t="shared" si="152"/>
        <v>27</v>
      </c>
      <c r="AK188" s="50">
        <f t="shared" si="152"/>
        <v>24</v>
      </c>
      <c r="AL188" s="50">
        <f t="shared" si="152"/>
        <v>21</v>
      </c>
      <c r="AM188" s="50">
        <f t="shared" si="152"/>
        <v>33</v>
      </c>
      <c r="AN188" s="50">
        <f t="shared" si="152"/>
        <v>24</v>
      </c>
      <c r="AO188" s="50">
        <f t="shared" si="152"/>
        <v>21</v>
      </c>
      <c r="AP188" s="50">
        <f t="shared" si="152"/>
        <v>34</v>
      </c>
      <c r="AQ188" s="50">
        <f t="shared" si="152"/>
        <v>38</v>
      </c>
      <c r="AR188" s="50">
        <f t="shared" si="152"/>
        <v>62</v>
      </c>
      <c r="AS188" s="50">
        <f t="shared" si="152"/>
        <v>42</v>
      </c>
      <c r="AT188" s="50">
        <f t="shared" si="152"/>
        <v>37</v>
      </c>
      <c r="AU188" s="50"/>
      <c r="AV188" s="8">
        <f t="shared" si="143"/>
        <v>47</v>
      </c>
      <c r="AW188" s="8">
        <f t="shared" si="144"/>
        <v>42.6</v>
      </c>
      <c r="AX188" s="8">
        <f t="shared" si="145"/>
        <v>33.6</v>
      </c>
      <c r="AY188" s="8"/>
      <c r="AZ188" s="47">
        <f t="shared" si="146"/>
        <v>0.10119047619047615</v>
      </c>
      <c r="BA188" s="15"/>
    </row>
    <row r="189" spans="2:53" ht="11.2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10"/>
      <c r="AW189" s="10"/>
      <c r="AX189" s="10"/>
      <c r="AY189" s="15"/>
      <c r="AZ189" s="15"/>
      <c r="BA189" s="15"/>
    </row>
    <row r="190" spans="2:53" ht="11.25" customHeight="1">
      <c r="B190" s="5" t="s">
        <v>65</v>
      </c>
      <c r="C190" s="5"/>
      <c r="D190" s="5" t="s">
        <v>122</v>
      </c>
      <c r="E190" s="5">
        <f>SUM(E152:E180)</f>
        <v>420</v>
      </c>
      <c r="F190" s="5">
        <f>SUM(F152:F181)</f>
        <v>451</v>
      </c>
      <c r="G190" s="5">
        <f>SUM(G152:G181)</f>
        <v>401</v>
      </c>
      <c r="H190" s="5">
        <f>SUM(H152:H181)</f>
        <v>409</v>
      </c>
      <c r="I190" s="50">
        <f t="shared" ref="I190:AD190" si="153">SUM(I184:I188)</f>
        <v>410</v>
      </c>
      <c r="J190" s="50">
        <f t="shared" si="153"/>
        <v>336</v>
      </c>
      <c r="K190" s="50">
        <f t="shared" si="153"/>
        <v>286</v>
      </c>
      <c r="L190" s="50">
        <f t="shared" si="153"/>
        <v>342</v>
      </c>
      <c r="M190" s="50">
        <f t="shared" si="153"/>
        <v>325</v>
      </c>
      <c r="N190" s="50">
        <f t="shared" si="153"/>
        <v>354</v>
      </c>
      <c r="O190" s="50">
        <f t="shared" si="153"/>
        <v>402</v>
      </c>
      <c r="P190" s="50">
        <f t="shared" si="153"/>
        <v>498</v>
      </c>
      <c r="Q190" s="50">
        <f t="shared" si="153"/>
        <v>460</v>
      </c>
      <c r="R190" s="50">
        <f t="shared" si="153"/>
        <v>580</v>
      </c>
      <c r="S190" s="50">
        <f t="shared" si="153"/>
        <v>596</v>
      </c>
      <c r="T190" s="50">
        <f t="shared" si="153"/>
        <v>597</v>
      </c>
      <c r="U190" s="50">
        <f t="shared" si="153"/>
        <v>682</v>
      </c>
      <c r="V190" s="50">
        <f t="shared" si="153"/>
        <v>640</v>
      </c>
      <c r="W190" s="50">
        <f t="shared" si="153"/>
        <v>654</v>
      </c>
      <c r="X190" s="50">
        <f t="shared" si="153"/>
        <v>704</v>
      </c>
      <c r="Y190" s="50">
        <f t="shared" si="153"/>
        <v>643</v>
      </c>
      <c r="Z190" s="50">
        <f t="shared" si="153"/>
        <v>604</v>
      </c>
      <c r="AA190" s="50">
        <f t="shared" si="153"/>
        <v>531</v>
      </c>
      <c r="AB190" s="50">
        <f t="shared" si="153"/>
        <v>575</v>
      </c>
      <c r="AC190" s="50">
        <f t="shared" si="153"/>
        <v>546</v>
      </c>
      <c r="AD190" s="50">
        <f t="shared" si="153"/>
        <v>530</v>
      </c>
      <c r="AE190" s="50">
        <f t="shared" ref="AE190:AJ190" si="154">SUM(AE184:AE188)</f>
        <v>576</v>
      </c>
      <c r="AF190" s="50">
        <f t="shared" si="154"/>
        <v>639</v>
      </c>
      <c r="AG190" s="50">
        <f t="shared" si="154"/>
        <v>613</v>
      </c>
      <c r="AH190" s="50">
        <f t="shared" si="154"/>
        <v>569</v>
      </c>
      <c r="AI190" s="50">
        <f t="shared" si="154"/>
        <v>541</v>
      </c>
      <c r="AJ190" s="50">
        <f t="shared" si="154"/>
        <v>606</v>
      </c>
      <c r="AK190" s="50">
        <f t="shared" ref="AK190:AP190" si="155">SUM(AK184:AK188)</f>
        <v>576</v>
      </c>
      <c r="AL190" s="50">
        <f t="shared" si="155"/>
        <v>649</v>
      </c>
      <c r="AM190" s="50">
        <f t="shared" si="155"/>
        <v>604</v>
      </c>
      <c r="AN190" s="50">
        <f t="shared" si="155"/>
        <v>643</v>
      </c>
      <c r="AO190" s="50">
        <f t="shared" si="155"/>
        <v>634</v>
      </c>
      <c r="AP190" s="50">
        <f t="shared" si="155"/>
        <v>577</v>
      </c>
      <c r="AQ190" s="50">
        <f t="shared" ref="AQ190:AR190" si="156">SUM(AQ184:AQ188)</f>
        <v>601</v>
      </c>
      <c r="AR190" s="50">
        <f t="shared" si="156"/>
        <v>611</v>
      </c>
      <c r="AS190" s="50">
        <f t="shared" ref="AS190:AT190" si="157">SUM(AS184:AS188)</f>
        <v>505</v>
      </c>
      <c r="AT190" s="50">
        <f t="shared" si="157"/>
        <v>527</v>
      </c>
      <c r="AU190" s="50"/>
      <c r="AV190" s="8">
        <f t="shared" ref="AV190" si="158">IF(SUM(AR190:AT190)&gt;=0,AVERAGE(AR190:AT190),"")</f>
        <v>547.66666666666663</v>
      </c>
      <c r="AW190" s="8">
        <f>IF(SUM(AP190:AT190)&gt;=0,AVERAGE(AP190:AT190),"")</f>
        <v>564.20000000000005</v>
      </c>
      <c r="AX190" s="8">
        <f t="shared" ref="AX190" si="159">IF(SUM(AK190:AT190)&gt;=0,AVERAGE(AK190:AT190),"")</f>
        <v>592.70000000000005</v>
      </c>
      <c r="AY190" s="8"/>
      <c r="AZ190" s="47">
        <f t="shared" ref="AZ190" si="160">(AT190-AX190)/AX190</f>
        <v>-0.11084865868061421</v>
      </c>
      <c r="BA190" s="15"/>
    </row>
    <row r="191" spans="2:53" ht="11.2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0" t="str">
        <f>IF(AA191&gt;0,IF(AA191&gt;9,(AA191-Z191)/Z191,"&lt;10 cases"),"")</f>
        <v/>
      </c>
      <c r="AW191" s="10" t="str">
        <f>IF(AA191&gt;0,IF(AA191&gt;9,(AA191-(SUM(V191:Z191)/5))/AA191,"&lt;10 cases"),"")</f>
        <v/>
      </c>
      <c r="AX191" s="10" t="str">
        <f>IF(AA191&gt;0,IF(AA191&gt;9,(AA191-SUM(Q191:Z191)/10)/AA191,"&lt;10 cases"),"")</f>
        <v/>
      </c>
      <c r="AY191" s="15"/>
      <c r="AZ191" s="15"/>
      <c r="BA191" s="15"/>
    </row>
    <row r="192" spans="2:53" ht="11.2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10"/>
      <c r="AW192" s="10"/>
      <c r="AX192" s="10"/>
      <c r="AY192" s="15"/>
      <c r="AZ192" s="15"/>
      <c r="BA192" s="15"/>
    </row>
    <row r="193" spans="1:53" ht="21.75" customHeight="1">
      <c r="B193" s="20" t="s">
        <v>168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41"/>
      <c r="AZ193" s="41"/>
      <c r="BA193" s="41"/>
    </row>
    <row r="194" spans="1:53" ht="11.25" customHeight="1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5"/>
      <c r="AZ194" s="15"/>
      <c r="BA194" s="15"/>
    </row>
    <row r="195" spans="1:53" s="17" customFormat="1" ht="11.25" hidden="1" customHeight="1">
      <c r="A195" s="36"/>
      <c r="B195" s="5" t="s">
        <v>180</v>
      </c>
      <c r="C195" s="5" t="s">
        <v>109</v>
      </c>
      <c r="D195" s="5" t="s">
        <v>135</v>
      </c>
      <c r="E195" s="5"/>
      <c r="F195" s="5"/>
      <c r="G195" s="5"/>
      <c r="H195" s="5"/>
      <c r="I195" s="46" t="s">
        <v>124</v>
      </c>
      <c r="J195" s="46" t="s">
        <v>124</v>
      </c>
      <c r="K195" s="46" t="s">
        <v>124</v>
      </c>
      <c r="L195" s="46" t="s">
        <v>124</v>
      </c>
      <c r="M195" s="46" t="s">
        <v>124</v>
      </c>
      <c r="N195" s="46" t="s">
        <v>124</v>
      </c>
      <c r="O195" s="46" t="s">
        <v>124</v>
      </c>
      <c r="P195" s="46" t="s">
        <v>124</v>
      </c>
      <c r="Q195" s="46" t="s">
        <v>124</v>
      </c>
      <c r="R195" s="46" t="s">
        <v>124</v>
      </c>
      <c r="S195" s="46" t="s">
        <v>124</v>
      </c>
      <c r="T195" s="46" t="s">
        <v>124</v>
      </c>
      <c r="U195" s="46" t="s">
        <v>124</v>
      </c>
      <c r="V195" s="46" t="s">
        <v>124</v>
      </c>
      <c r="W195" s="46"/>
      <c r="X195" s="46"/>
      <c r="Y195" s="46"/>
      <c r="Z195" s="5">
        <v>3</v>
      </c>
      <c r="AA195" s="5">
        <v>5</v>
      </c>
      <c r="AB195" s="5">
        <v>5</v>
      </c>
      <c r="AC195" s="5">
        <v>4</v>
      </c>
      <c r="AD195" s="5">
        <v>4</v>
      </c>
      <c r="AE195" s="5">
        <v>2</v>
      </c>
      <c r="AF195" s="5">
        <v>1</v>
      </c>
      <c r="AG195" s="5">
        <v>0</v>
      </c>
      <c r="AH195" s="5">
        <v>1</v>
      </c>
      <c r="AI195" s="5">
        <v>1</v>
      </c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6" t="s">
        <v>125</v>
      </c>
      <c r="AW195" s="6" t="s">
        <v>125</v>
      </c>
      <c r="AX195" s="6" t="s">
        <v>125</v>
      </c>
      <c r="AY195" s="15"/>
      <c r="AZ195" s="15"/>
      <c r="BA195" s="36"/>
    </row>
    <row r="196" spans="1:53" ht="11.25" customHeight="1">
      <c r="B196" s="5" t="s">
        <v>180</v>
      </c>
      <c r="C196" s="5" t="s">
        <v>46</v>
      </c>
      <c r="D196" s="5" t="s">
        <v>47</v>
      </c>
      <c r="E196" s="5"/>
      <c r="F196" s="5"/>
      <c r="G196" s="5"/>
      <c r="H196" s="5">
        <v>0</v>
      </c>
      <c r="I196" s="5">
        <v>0</v>
      </c>
      <c r="J196" s="5">
        <v>9</v>
      </c>
      <c r="K196" s="5">
        <v>19</v>
      </c>
      <c r="L196" s="5">
        <v>22</v>
      </c>
      <c r="M196" s="5">
        <v>37</v>
      </c>
      <c r="N196" s="5">
        <v>49</v>
      </c>
      <c r="O196" s="5">
        <v>65</v>
      </c>
      <c r="P196" s="5">
        <v>62</v>
      </c>
      <c r="Q196" s="5">
        <v>71</v>
      </c>
      <c r="R196" s="5">
        <v>75</v>
      </c>
      <c r="S196" s="5">
        <v>85</v>
      </c>
      <c r="T196" s="5">
        <v>39</v>
      </c>
      <c r="U196" s="5">
        <v>41</v>
      </c>
      <c r="V196" s="5">
        <v>120</v>
      </c>
      <c r="W196" s="5">
        <v>140</v>
      </c>
      <c r="X196" s="5">
        <v>148</v>
      </c>
      <c r="Y196" s="5">
        <v>144</v>
      </c>
      <c r="Z196" s="5">
        <v>140</v>
      </c>
      <c r="AA196" s="5">
        <v>112</v>
      </c>
      <c r="AB196" s="5">
        <v>89</v>
      </c>
      <c r="AC196" s="5">
        <v>106</v>
      </c>
      <c r="AD196" s="5">
        <v>111</v>
      </c>
      <c r="AE196" s="5">
        <v>121</v>
      </c>
      <c r="AF196" s="5">
        <v>151</v>
      </c>
      <c r="AG196" s="5">
        <v>160</v>
      </c>
      <c r="AH196" s="5">
        <v>162</v>
      </c>
      <c r="AI196" s="5">
        <v>185</v>
      </c>
      <c r="AJ196" s="5">
        <v>181</v>
      </c>
      <c r="AK196" s="5">
        <v>200</v>
      </c>
      <c r="AL196" s="5">
        <v>201</v>
      </c>
      <c r="AM196" s="5">
        <v>206</v>
      </c>
      <c r="AN196" s="5">
        <v>224</v>
      </c>
      <c r="AO196" s="5">
        <f>70+176</f>
        <v>246</v>
      </c>
      <c r="AP196" s="5">
        <v>284</v>
      </c>
      <c r="AQ196" s="5">
        <v>253</v>
      </c>
      <c r="AR196" s="5">
        <v>250</v>
      </c>
      <c r="AS196" s="5">
        <v>237</v>
      </c>
      <c r="AT196" s="5">
        <v>194</v>
      </c>
      <c r="AU196" s="5"/>
      <c r="AV196" s="8">
        <f t="shared" ref="AV196:AV199" si="161">IF(SUM(AR196:AT196)&gt;=0,AVERAGE(AR196:AT196),"")</f>
        <v>227</v>
      </c>
      <c r="AW196" s="8">
        <f t="shared" ref="AW196:AW203" si="162">IF(SUM(AP196:AT196)&gt;=0,AVERAGE(AP196:AT196),"")</f>
        <v>243.6</v>
      </c>
      <c r="AX196" s="8">
        <f t="shared" ref="AX196:AX198" si="163">IF(SUM(AK196:AT196)&gt;=0,AVERAGE(AK196:AT196),"")</f>
        <v>229.5</v>
      </c>
      <c r="AY196" s="8"/>
      <c r="AZ196" s="47">
        <f t="shared" ref="AZ196:AZ199" si="164">(AT196-AX196)/AX196</f>
        <v>-0.15468409586056645</v>
      </c>
      <c r="BA196" s="15"/>
    </row>
    <row r="197" spans="1:53" ht="11.25" customHeight="1">
      <c r="B197" s="5"/>
      <c r="C197" s="5" t="s">
        <v>78</v>
      </c>
      <c r="D197" s="5" t="s">
        <v>141</v>
      </c>
      <c r="E197" s="5"/>
      <c r="F197" s="5"/>
      <c r="G197" s="5"/>
      <c r="H197" s="5"/>
      <c r="I197" s="46" t="s">
        <v>124</v>
      </c>
      <c r="J197" s="46" t="s">
        <v>124</v>
      </c>
      <c r="K197" s="46" t="s">
        <v>124</v>
      </c>
      <c r="L197" s="46" t="s">
        <v>124</v>
      </c>
      <c r="M197" s="46" t="s">
        <v>124</v>
      </c>
      <c r="N197" s="46" t="s">
        <v>124</v>
      </c>
      <c r="O197" s="46" t="s">
        <v>124</v>
      </c>
      <c r="P197" s="46" t="s">
        <v>124</v>
      </c>
      <c r="Q197" s="5">
        <v>0</v>
      </c>
      <c r="R197" s="5">
        <v>0</v>
      </c>
      <c r="S197" s="5">
        <v>0</v>
      </c>
      <c r="T197" s="5">
        <v>0</v>
      </c>
      <c r="U197" s="5">
        <v>10</v>
      </c>
      <c r="V197" s="5">
        <v>17</v>
      </c>
      <c r="W197" s="5">
        <v>39</v>
      </c>
      <c r="X197" s="5">
        <v>106</v>
      </c>
      <c r="Y197" s="5">
        <v>46</v>
      </c>
      <c r="Z197" s="5">
        <v>94</v>
      </c>
      <c r="AA197" s="5">
        <v>66</v>
      </c>
      <c r="AB197" s="5">
        <v>30</v>
      </c>
      <c r="AC197" s="5">
        <v>88</v>
      </c>
      <c r="AD197" s="5">
        <v>34</v>
      </c>
      <c r="AE197" s="5">
        <v>64</v>
      </c>
      <c r="AF197" s="5">
        <v>60</v>
      </c>
      <c r="AG197" s="5">
        <v>46</v>
      </c>
      <c r="AH197" s="5">
        <v>48</v>
      </c>
      <c r="AI197" s="5">
        <v>51</v>
      </c>
      <c r="AJ197" s="5">
        <v>43</v>
      </c>
      <c r="AK197" s="5">
        <v>41</v>
      </c>
      <c r="AL197" s="5">
        <v>72</v>
      </c>
      <c r="AM197" s="5">
        <v>63</v>
      </c>
      <c r="AN197" s="5">
        <v>79</v>
      </c>
      <c r="AO197" s="5">
        <v>52</v>
      </c>
      <c r="AP197" s="5">
        <v>55</v>
      </c>
      <c r="AQ197" s="5">
        <v>53</v>
      </c>
      <c r="AR197" s="5">
        <v>67</v>
      </c>
      <c r="AS197" s="5">
        <v>89</v>
      </c>
      <c r="AT197" s="5">
        <v>3</v>
      </c>
      <c r="AU197" s="5"/>
      <c r="AV197" s="8">
        <f t="shared" si="161"/>
        <v>53</v>
      </c>
      <c r="AW197" s="8">
        <f t="shared" si="162"/>
        <v>53.4</v>
      </c>
      <c r="AX197" s="8">
        <f t="shared" si="163"/>
        <v>57.4</v>
      </c>
      <c r="AY197" s="8"/>
      <c r="AZ197" s="47">
        <f t="shared" si="164"/>
        <v>-0.94773519163763065</v>
      </c>
      <c r="BA197" s="15"/>
    </row>
    <row r="198" spans="1:53" ht="11.25" customHeight="1">
      <c r="B198" s="5"/>
      <c r="C198" s="5"/>
      <c r="D198" s="5" t="s">
        <v>206</v>
      </c>
      <c r="E198" s="5"/>
      <c r="F198" s="5"/>
      <c r="G198" s="5"/>
      <c r="H198" s="5"/>
      <c r="I198" s="46"/>
      <c r="J198" s="46"/>
      <c r="K198" s="46"/>
      <c r="L198" s="46"/>
      <c r="M198" s="46"/>
      <c r="N198" s="46"/>
      <c r="O198" s="46"/>
      <c r="P198" s="46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>
        <v>0</v>
      </c>
      <c r="AK198" s="5">
        <v>0</v>
      </c>
      <c r="AL198" s="5">
        <v>0</v>
      </c>
      <c r="AM198" s="5">
        <v>4</v>
      </c>
      <c r="AN198" s="5">
        <v>6</v>
      </c>
      <c r="AO198" s="5">
        <v>4</v>
      </c>
      <c r="AP198" s="5">
        <v>7</v>
      </c>
      <c r="AQ198" s="5">
        <v>2</v>
      </c>
      <c r="AR198" s="5">
        <v>6</v>
      </c>
      <c r="AS198" s="5">
        <v>3</v>
      </c>
      <c r="AT198" s="5">
        <v>20</v>
      </c>
      <c r="AU198" s="46"/>
      <c r="AV198" s="8">
        <f t="shared" si="161"/>
        <v>9.6666666666666661</v>
      </c>
      <c r="AW198" s="8">
        <f t="shared" si="162"/>
        <v>7.6</v>
      </c>
      <c r="AX198" s="8">
        <f t="shared" si="163"/>
        <v>5.2</v>
      </c>
      <c r="AY198" s="8"/>
      <c r="AZ198" s="47">
        <f t="shared" si="164"/>
        <v>2.8461538461538463</v>
      </c>
      <c r="BA198" s="15"/>
    </row>
    <row r="199" spans="1:53" ht="11.25" customHeight="1">
      <c r="B199" s="5"/>
      <c r="C199" s="5"/>
      <c r="D199" s="5" t="s">
        <v>140</v>
      </c>
      <c r="E199" s="5"/>
      <c r="F199" s="5"/>
      <c r="G199" s="5"/>
      <c r="H199" s="5"/>
      <c r="I199" s="46" t="s">
        <v>124</v>
      </c>
      <c r="J199" s="46" t="s">
        <v>124</v>
      </c>
      <c r="K199" s="46" t="s">
        <v>124</v>
      </c>
      <c r="L199" s="46" t="s">
        <v>124</v>
      </c>
      <c r="M199" s="46" t="s">
        <v>124</v>
      </c>
      <c r="N199" s="46" t="s">
        <v>124</v>
      </c>
      <c r="O199" s="46" t="s">
        <v>124</v>
      </c>
      <c r="P199" s="46" t="s">
        <v>124</v>
      </c>
      <c r="Q199" s="46" t="s">
        <v>124</v>
      </c>
      <c r="R199" s="46" t="s">
        <v>124</v>
      </c>
      <c r="S199" s="46" t="s">
        <v>124</v>
      </c>
      <c r="T199" s="46" t="s">
        <v>124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2</v>
      </c>
      <c r="AA199" s="5">
        <v>4</v>
      </c>
      <c r="AB199" s="5">
        <v>4</v>
      </c>
      <c r="AC199" s="5">
        <v>5</v>
      </c>
      <c r="AD199" s="5">
        <v>4</v>
      </c>
      <c r="AE199" s="5">
        <v>1</v>
      </c>
      <c r="AF199" s="5">
        <v>1</v>
      </c>
      <c r="AG199" s="5">
        <v>4</v>
      </c>
      <c r="AH199" s="5">
        <v>2</v>
      </c>
      <c r="AI199" s="5">
        <v>9</v>
      </c>
      <c r="AJ199" s="5">
        <v>2</v>
      </c>
      <c r="AK199" s="5">
        <v>2</v>
      </c>
      <c r="AL199" s="5">
        <v>4</v>
      </c>
      <c r="AM199" s="5">
        <v>2</v>
      </c>
      <c r="AN199" s="5">
        <v>1</v>
      </c>
      <c r="AO199" s="5">
        <v>3</v>
      </c>
      <c r="AP199" s="5">
        <v>2</v>
      </c>
      <c r="AQ199" s="5">
        <v>3</v>
      </c>
      <c r="AR199" s="5">
        <v>2</v>
      </c>
      <c r="AS199" s="5">
        <v>2</v>
      </c>
      <c r="AT199" s="5">
        <v>5</v>
      </c>
      <c r="AU199" s="5"/>
      <c r="AV199" s="8">
        <f t="shared" si="161"/>
        <v>3</v>
      </c>
      <c r="AW199" s="8">
        <f t="shared" si="162"/>
        <v>2.8</v>
      </c>
      <c r="AX199" s="8">
        <f>IF(SUM(AK199:AT199)&gt;=0,AVERAGE(AK199:AT199),"")</f>
        <v>2.6</v>
      </c>
      <c r="AY199" s="8"/>
      <c r="AZ199" s="47">
        <f t="shared" si="164"/>
        <v>0.92307692307692302</v>
      </c>
      <c r="BA199" s="15"/>
    </row>
    <row r="200" spans="1:53" ht="11.25" customHeight="1">
      <c r="B200" s="5"/>
      <c r="C200" s="51" t="s">
        <v>351</v>
      </c>
      <c r="D200" s="5" t="s">
        <v>244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>
        <v>1</v>
      </c>
      <c r="AM200" s="5">
        <v>2</v>
      </c>
      <c r="AN200" s="5">
        <v>0</v>
      </c>
      <c r="AO200" s="5">
        <v>1</v>
      </c>
      <c r="AP200" s="5">
        <v>0</v>
      </c>
      <c r="AQ200" s="5">
        <v>1</v>
      </c>
      <c r="AR200" s="5">
        <v>0</v>
      </c>
      <c r="AS200" s="5">
        <v>1</v>
      </c>
      <c r="AT200" s="5">
        <v>0</v>
      </c>
      <c r="AU200" s="5"/>
      <c r="AV200" s="8">
        <f t="shared" ref="AV200:AV205" si="165">IF(SUM(AR200:AT200)&gt;=0,AVERAGE(AR200:AT200),"")</f>
        <v>0.33333333333333331</v>
      </c>
      <c r="AW200" s="8">
        <f t="shared" si="162"/>
        <v>0.4</v>
      </c>
      <c r="AX200" s="6" t="s">
        <v>125</v>
      </c>
      <c r="AY200" s="15"/>
      <c r="AZ200" s="15"/>
      <c r="BA200" s="15"/>
    </row>
    <row r="201" spans="1:53" ht="11.25" customHeight="1">
      <c r="B201" s="5"/>
      <c r="C201" s="5" t="s">
        <v>349</v>
      </c>
      <c r="D201" s="5" t="s">
        <v>244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>
        <v>3</v>
      </c>
      <c r="AM201" s="5">
        <v>0</v>
      </c>
      <c r="AN201" s="5">
        <v>1</v>
      </c>
      <c r="AO201" s="5">
        <v>3</v>
      </c>
      <c r="AP201" s="5">
        <v>2</v>
      </c>
      <c r="AQ201" s="5">
        <v>0</v>
      </c>
      <c r="AR201" s="5">
        <v>1</v>
      </c>
      <c r="AS201" s="5">
        <v>0</v>
      </c>
      <c r="AT201" s="5">
        <v>2</v>
      </c>
      <c r="AU201" s="5"/>
      <c r="AV201" s="8">
        <f t="shared" si="165"/>
        <v>1</v>
      </c>
      <c r="AW201" s="8">
        <f t="shared" si="162"/>
        <v>1</v>
      </c>
      <c r="AX201" s="6" t="s">
        <v>125</v>
      </c>
      <c r="AY201" s="15"/>
      <c r="AZ201" s="15"/>
      <c r="BA201" s="15"/>
    </row>
    <row r="202" spans="1:53" ht="11.25" hidden="1" customHeight="1">
      <c r="B202" s="5"/>
      <c r="C202" s="5" t="s">
        <v>352</v>
      </c>
      <c r="D202" s="5" t="s">
        <v>359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>
        <v>0</v>
      </c>
      <c r="AR202" s="5">
        <v>0</v>
      </c>
      <c r="AS202" s="5">
        <v>0</v>
      </c>
      <c r="AT202" s="5">
        <v>0</v>
      </c>
      <c r="AU202" s="5"/>
      <c r="AV202" s="8">
        <f t="shared" si="165"/>
        <v>0</v>
      </c>
      <c r="AW202" s="6" t="s">
        <v>125</v>
      </c>
      <c r="AX202" s="6" t="s">
        <v>125</v>
      </c>
      <c r="AY202" s="15"/>
      <c r="AZ202" s="15"/>
      <c r="BA202" s="15"/>
    </row>
    <row r="203" spans="1:53" ht="11.25" customHeight="1">
      <c r="B203" s="5"/>
      <c r="C203" s="5" t="s">
        <v>350</v>
      </c>
      <c r="D203" s="5" t="s">
        <v>244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6</v>
      </c>
      <c r="AT203" s="5">
        <v>10</v>
      </c>
      <c r="AU203" s="5"/>
      <c r="AV203" s="8">
        <f t="shared" si="165"/>
        <v>5.333333333333333</v>
      </c>
      <c r="AW203" s="8">
        <f t="shared" si="162"/>
        <v>3.2</v>
      </c>
      <c r="AX203" s="6" t="s">
        <v>125</v>
      </c>
      <c r="AY203" s="15"/>
      <c r="AZ203" s="15"/>
      <c r="BA203" s="15"/>
    </row>
    <row r="204" spans="1:53" ht="11.25" customHeight="1">
      <c r="B204" s="5"/>
      <c r="C204" s="51" t="s">
        <v>356</v>
      </c>
      <c r="D204" s="5" t="s">
        <v>359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>
        <v>0</v>
      </c>
      <c r="AR204" s="5">
        <v>0</v>
      </c>
      <c r="AS204" s="5">
        <v>2</v>
      </c>
      <c r="AT204" s="5">
        <v>7</v>
      </c>
      <c r="AU204" s="5"/>
      <c r="AV204" s="8">
        <f t="shared" si="165"/>
        <v>3</v>
      </c>
      <c r="AW204" s="6" t="s">
        <v>125</v>
      </c>
      <c r="AX204" s="6" t="s">
        <v>125</v>
      </c>
      <c r="AY204" s="15"/>
      <c r="AZ204" s="15"/>
      <c r="BA204" s="15"/>
    </row>
    <row r="205" spans="1:53" ht="11.25" customHeight="1">
      <c r="B205" s="5"/>
      <c r="C205" s="51" t="s">
        <v>355</v>
      </c>
      <c r="D205" s="5" t="s">
        <v>244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>
        <v>0</v>
      </c>
      <c r="AM205" s="5">
        <v>0</v>
      </c>
      <c r="AN205" s="5">
        <v>1</v>
      </c>
      <c r="AO205" s="5">
        <v>0</v>
      </c>
      <c r="AP205" s="5">
        <v>0</v>
      </c>
      <c r="AQ205" s="5">
        <v>0</v>
      </c>
      <c r="AR205" s="5">
        <v>1</v>
      </c>
      <c r="AS205" s="5">
        <v>1</v>
      </c>
      <c r="AT205" s="5">
        <v>0</v>
      </c>
      <c r="AU205" s="5"/>
      <c r="AV205" s="8">
        <f t="shared" si="165"/>
        <v>0.66666666666666663</v>
      </c>
      <c r="AW205" s="8">
        <f>IF(SUM(AP205:AT205)&gt;=0,AVERAGE(AP205:AT205),"")</f>
        <v>0.4</v>
      </c>
      <c r="AX205" s="6" t="s">
        <v>125</v>
      </c>
      <c r="AY205" s="15"/>
      <c r="AZ205" s="15"/>
      <c r="BA205" s="15"/>
    </row>
    <row r="206" spans="1:53" ht="11.25" customHeight="1">
      <c r="B206" s="5"/>
      <c r="C206" s="5" t="s">
        <v>360</v>
      </c>
      <c r="D206" s="5" t="s">
        <v>244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>
        <v>0</v>
      </c>
      <c r="AF206" s="5">
        <v>0</v>
      </c>
      <c r="AG206" s="5">
        <v>0</v>
      </c>
      <c r="AH206" s="5">
        <v>0</v>
      </c>
      <c r="AI206" s="5">
        <v>5</v>
      </c>
      <c r="AJ206" s="5">
        <v>1</v>
      </c>
      <c r="AK206" s="5">
        <v>1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6" t="s">
        <v>125</v>
      </c>
      <c r="AW206" s="6" t="s">
        <v>125</v>
      </c>
      <c r="AX206" s="6" t="s">
        <v>125</v>
      </c>
      <c r="AY206" s="15"/>
      <c r="AZ206" s="15"/>
      <c r="BA206" s="15"/>
    </row>
    <row r="207" spans="1:53" ht="11.2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10"/>
      <c r="AW207" s="10"/>
      <c r="AX207" s="10"/>
      <c r="AY207" s="15"/>
      <c r="AZ207" s="15"/>
      <c r="BA207" s="15"/>
    </row>
    <row r="208" spans="1:53" ht="11.25" customHeight="1">
      <c r="B208" s="5" t="s">
        <v>58</v>
      </c>
      <c r="C208" s="5"/>
      <c r="D208" s="49" t="s">
        <v>2</v>
      </c>
      <c r="E208" s="5"/>
      <c r="F208" s="5"/>
      <c r="G208" s="5"/>
      <c r="H208" s="50">
        <f t="shared" ref="H208:Y208" si="166">H196</f>
        <v>0</v>
      </c>
      <c r="I208" s="50">
        <f t="shared" si="166"/>
        <v>0</v>
      </c>
      <c r="J208" s="50">
        <f t="shared" si="166"/>
        <v>9</v>
      </c>
      <c r="K208" s="50">
        <f t="shared" si="166"/>
        <v>19</v>
      </c>
      <c r="L208" s="50">
        <f t="shared" si="166"/>
        <v>22</v>
      </c>
      <c r="M208" s="50">
        <f t="shared" si="166"/>
        <v>37</v>
      </c>
      <c r="N208" s="50">
        <f t="shared" si="166"/>
        <v>49</v>
      </c>
      <c r="O208" s="50">
        <f t="shared" si="166"/>
        <v>65</v>
      </c>
      <c r="P208" s="50">
        <f t="shared" si="166"/>
        <v>62</v>
      </c>
      <c r="Q208" s="50">
        <f t="shared" si="166"/>
        <v>71</v>
      </c>
      <c r="R208" s="50">
        <f t="shared" si="166"/>
        <v>75</v>
      </c>
      <c r="S208" s="50">
        <f t="shared" si="166"/>
        <v>85</v>
      </c>
      <c r="T208" s="50">
        <f t="shared" si="166"/>
        <v>39</v>
      </c>
      <c r="U208" s="50">
        <f t="shared" si="166"/>
        <v>41</v>
      </c>
      <c r="V208" s="50">
        <f t="shared" si="166"/>
        <v>120</v>
      </c>
      <c r="W208" s="50">
        <f t="shared" si="166"/>
        <v>140</v>
      </c>
      <c r="X208" s="50">
        <f t="shared" si="166"/>
        <v>148</v>
      </c>
      <c r="Y208" s="50">
        <f t="shared" si="166"/>
        <v>144</v>
      </c>
      <c r="Z208" s="50">
        <f t="shared" ref="Z208:AI208" si="167">Z195+Z196</f>
        <v>143</v>
      </c>
      <c r="AA208" s="50">
        <f t="shared" si="167"/>
        <v>117</v>
      </c>
      <c r="AB208" s="50">
        <f t="shared" si="167"/>
        <v>94</v>
      </c>
      <c r="AC208" s="50">
        <f t="shared" si="167"/>
        <v>110</v>
      </c>
      <c r="AD208" s="50">
        <f t="shared" si="167"/>
        <v>115</v>
      </c>
      <c r="AE208" s="50">
        <f t="shared" si="167"/>
        <v>123</v>
      </c>
      <c r="AF208" s="50">
        <f t="shared" si="167"/>
        <v>152</v>
      </c>
      <c r="AG208" s="50">
        <f t="shared" si="167"/>
        <v>160</v>
      </c>
      <c r="AH208" s="50">
        <f t="shared" si="167"/>
        <v>163</v>
      </c>
      <c r="AI208" s="50">
        <f t="shared" si="167"/>
        <v>186</v>
      </c>
      <c r="AJ208" s="50">
        <f t="shared" ref="AJ208:AT208" si="168">AJ196</f>
        <v>181</v>
      </c>
      <c r="AK208" s="50">
        <f t="shared" si="168"/>
        <v>200</v>
      </c>
      <c r="AL208" s="50">
        <f t="shared" si="168"/>
        <v>201</v>
      </c>
      <c r="AM208" s="50">
        <f t="shared" si="168"/>
        <v>206</v>
      </c>
      <c r="AN208" s="50">
        <f t="shared" si="168"/>
        <v>224</v>
      </c>
      <c r="AO208" s="50">
        <f t="shared" si="168"/>
        <v>246</v>
      </c>
      <c r="AP208" s="50">
        <f t="shared" si="168"/>
        <v>284</v>
      </c>
      <c r="AQ208" s="50">
        <f t="shared" si="168"/>
        <v>253</v>
      </c>
      <c r="AR208" s="50">
        <f t="shared" si="168"/>
        <v>250</v>
      </c>
      <c r="AS208" s="50">
        <f t="shared" si="168"/>
        <v>237</v>
      </c>
      <c r="AT208" s="50">
        <f t="shared" si="168"/>
        <v>194</v>
      </c>
      <c r="AU208" s="50"/>
      <c r="AV208" s="8">
        <f t="shared" ref="AV208:AV211" si="169">IF(SUM(AR208:AT208)&gt;=0,AVERAGE(AR208:AT208),"")</f>
        <v>227</v>
      </c>
      <c r="AW208" s="8">
        <f t="shared" ref="AW208:AW211" si="170">IF(SUM(AP208:AT208)&gt;=0,AVERAGE(AP208:AT208),"")</f>
        <v>243.6</v>
      </c>
      <c r="AX208" s="8">
        <f t="shared" ref="AX208:AX211" si="171">IF(SUM(AK208:AT208)&gt;=0,AVERAGE(AK208:AT208),"")</f>
        <v>229.5</v>
      </c>
      <c r="AY208" s="8"/>
      <c r="AZ208" s="47">
        <f t="shared" ref="AZ208:AZ211" si="172">(AT208-AX208)/AX208</f>
        <v>-0.15468409586056645</v>
      </c>
      <c r="BA208" s="15"/>
    </row>
    <row r="209" spans="2:53" ht="11.25" customHeight="1">
      <c r="B209" s="5"/>
      <c r="C209" s="5"/>
      <c r="D209" s="49" t="s">
        <v>121</v>
      </c>
      <c r="E209" s="5"/>
      <c r="F209" s="5"/>
      <c r="G209" s="5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>
        <f>AI206</f>
        <v>5</v>
      </c>
      <c r="AJ209" s="50">
        <f>AJ206</f>
        <v>1</v>
      </c>
      <c r="AK209" s="50">
        <f>AK206</f>
        <v>1</v>
      </c>
      <c r="AL209" s="50">
        <f t="shared" ref="AL209:AO209" si="173">AL200+AL201+AL203+AL205</f>
        <v>4</v>
      </c>
      <c r="AM209" s="50">
        <f t="shared" si="173"/>
        <v>2</v>
      </c>
      <c r="AN209" s="50">
        <f t="shared" si="173"/>
        <v>2</v>
      </c>
      <c r="AO209" s="50">
        <f t="shared" si="173"/>
        <v>4</v>
      </c>
      <c r="AP209" s="50">
        <f>AP200+AP201+AP203+AP205</f>
        <v>2</v>
      </c>
      <c r="AQ209" s="50">
        <f t="shared" ref="AQ209:AS209" si="174">AQ200+AQ201+AQ202+AQ203+AQ204+AQ205</f>
        <v>1</v>
      </c>
      <c r="AR209" s="50">
        <f t="shared" si="174"/>
        <v>2</v>
      </c>
      <c r="AS209" s="50">
        <f t="shared" si="174"/>
        <v>10</v>
      </c>
      <c r="AT209" s="50">
        <f>AT200+AT201+AT202+AT203+AT204+AT205</f>
        <v>19</v>
      </c>
      <c r="AU209" s="50"/>
      <c r="AV209" s="8">
        <f t="shared" si="169"/>
        <v>10.333333333333334</v>
      </c>
      <c r="AW209" s="8">
        <f t="shared" si="170"/>
        <v>6.8</v>
      </c>
      <c r="AX209" s="8">
        <f t="shared" si="171"/>
        <v>4.7</v>
      </c>
      <c r="AY209" s="8"/>
      <c r="AZ209" s="47">
        <f t="shared" si="172"/>
        <v>3.0425531914893615</v>
      </c>
      <c r="BA209" s="15"/>
    </row>
    <row r="210" spans="2:53" ht="11.25" customHeight="1">
      <c r="B210" s="5"/>
      <c r="C210" s="5"/>
      <c r="D210" s="49" t="s">
        <v>3</v>
      </c>
      <c r="E210" s="5"/>
      <c r="F210" s="5"/>
      <c r="G210" s="5"/>
      <c r="H210" s="5"/>
      <c r="I210" s="46" t="s">
        <v>124</v>
      </c>
      <c r="J210" s="46" t="s">
        <v>124</v>
      </c>
      <c r="K210" s="46" t="s">
        <v>124</v>
      </c>
      <c r="L210" s="46" t="s">
        <v>124</v>
      </c>
      <c r="M210" s="46" t="s">
        <v>124</v>
      </c>
      <c r="N210" s="46" t="s">
        <v>124</v>
      </c>
      <c r="O210" s="46" t="s">
        <v>124</v>
      </c>
      <c r="P210" s="46" t="s">
        <v>124</v>
      </c>
      <c r="Q210" s="50">
        <f t="shared" ref="Q210:AT210" si="175">Q197</f>
        <v>0</v>
      </c>
      <c r="R210" s="50">
        <f t="shared" si="175"/>
        <v>0</v>
      </c>
      <c r="S210" s="50">
        <f t="shared" si="175"/>
        <v>0</v>
      </c>
      <c r="T210" s="50">
        <f t="shared" si="175"/>
        <v>0</v>
      </c>
      <c r="U210" s="50">
        <f t="shared" si="175"/>
        <v>10</v>
      </c>
      <c r="V210" s="50">
        <f t="shared" si="175"/>
        <v>17</v>
      </c>
      <c r="W210" s="50">
        <f t="shared" si="175"/>
        <v>39</v>
      </c>
      <c r="X210" s="50">
        <f t="shared" si="175"/>
        <v>106</v>
      </c>
      <c r="Y210" s="50">
        <f t="shared" si="175"/>
        <v>46</v>
      </c>
      <c r="Z210" s="50">
        <f t="shared" si="175"/>
        <v>94</v>
      </c>
      <c r="AA210" s="50">
        <f t="shared" si="175"/>
        <v>66</v>
      </c>
      <c r="AB210" s="50">
        <f t="shared" si="175"/>
        <v>30</v>
      </c>
      <c r="AC210" s="50">
        <f t="shared" si="175"/>
        <v>88</v>
      </c>
      <c r="AD210" s="50">
        <f t="shared" si="175"/>
        <v>34</v>
      </c>
      <c r="AE210" s="50">
        <f t="shared" si="175"/>
        <v>64</v>
      </c>
      <c r="AF210" s="50">
        <f t="shared" si="175"/>
        <v>60</v>
      </c>
      <c r="AG210" s="50">
        <f t="shared" si="175"/>
        <v>46</v>
      </c>
      <c r="AH210" s="50">
        <f t="shared" si="175"/>
        <v>48</v>
      </c>
      <c r="AI210" s="50">
        <f t="shared" si="175"/>
        <v>51</v>
      </c>
      <c r="AJ210" s="50">
        <f t="shared" si="175"/>
        <v>43</v>
      </c>
      <c r="AK210" s="50">
        <f t="shared" si="175"/>
        <v>41</v>
      </c>
      <c r="AL210" s="50">
        <f t="shared" si="175"/>
        <v>72</v>
      </c>
      <c r="AM210" s="50">
        <f t="shared" si="175"/>
        <v>63</v>
      </c>
      <c r="AN210" s="50">
        <f t="shared" si="175"/>
        <v>79</v>
      </c>
      <c r="AO210" s="50">
        <f t="shared" si="175"/>
        <v>52</v>
      </c>
      <c r="AP210" s="50">
        <f t="shared" si="175"/>
        <v>55</v>
      </c>
      <c r="AQ210" s="50">
        <f t="shared" si="175"/>
        <v>53</v>
      </c>
      <c r="AR210" s="50">
        <f t="shared" si="175"/>
        <v>67</v>
      </c>
      <c r="AS210" s="50">
        <f t="shared" si="175"/>
        <v>89</v>
      </c>
      <c r="AT210" s="50">
        <f t="shared" si="175"/>
        <v>3</v>
      </c>
      <c r="AU210" s="50"/>
      <c r="AV210" s="8">
        <f t="shared" si="169"/>
        <v>53</v>
      </c>
      <c r="AW210" s="8">
        <f t="shared" si="170"/>
        <v>53.4</v>
      </c>
      <c r="AX210" s="8">
        <f t="shared" si="171"/>
        <v>57.4</v>
      </c>
      <c r="AY210" s="8"/>
      <c r="AZ210" s="47">
        <f t="shared" si="172"/>
        <v>-0.94773519163763065</v>
      </c>
      <c r="BA210" s="15"/>
    </row>
    <row r="211" spans="2:53" ht="11.25" customHeight="1">
      <c r="B211" s="5"/>
      <c r="C211" s="5"/>
      <c r="D211" s="49" t="s">
        <v>4</v>
      </c>
      <c r="E211" s="5"/>
      <c r="F211" s="5"/>
      <c r="G211" s="5"/>
      <c r="H211" s="5"/>
      <c r="I211" s="46" t="s">
        <v>124</v>
      </c>
      <c r="J211" s="46" t="s">
        <v>124</v>
      </c>
      <c r="K211" s="46" t="s">
        <v>124</v>
      </c>
      <c r="L211" s="46" t="s">
        <v>124</v>
      </c>
      <c r="M211" s="46" t="s">
        <v>124</v>
      </c>
      <c r="N211" s="46" t="s">
        <v>124</v>
      </c>
      <c r="O211" s="46" t="s">
        <v>124</v>
      </c>
      <c r="P211" s="46" t="s">
        <v>124</v>
      </c>
      <c r="Q211" s="46" t="s">
        <v>124</v>
      </c>
      <c r="R211" s="46" t="s">
        <v>124</v>
      </c>
      <c r="S211" s="46" t="s">
        <v>124</v>
      </c>
      <c r="T211" s="46" t="s">
        <v>124</v>
      </c>
      <c r="U211" s="50">
        <f t="shared" ref="U211:AL211" si="176">+U199</f>
        <v>0</v>
      </c>
      <c r="V211" s="50">
        <f t="shared" si="176"/>
        <v>0</v>
      </c>
      <c r="W211" s="50">
        <f t="shared" si="176"/>
        <v>0</v>
      </c>
      <c r="X211" s="50">
        <f t="shared" si="176"/>
        <v>0</v>
      </c>
      <c r="Y211" s="50">
        <f t="shared" si="176"/>
        <v>0</v>
      </c>
      <c r="Z211" s="50">
        <f t="shared" si="176"/>
        <v>2</v>
      </c>
      <c r="AA211" s="50">
        <f t="shared" si="176"/>
        <v>4</v>
      </c>
      <c r="AB211" s="50">
        <f t="shared" si="176"/>
        <v>4</v>
      </c>
      <c r="AC211" s="50">
        <f t="shared" si="176"/>
        <v>5</v>
      </c>
      <c r="AD211" s="50">
        <f t="shared" si="176"/>
        <v>4</v>
      </c>
      <c r="AE211" s="50">
        <f t="shared" si="176"/>
        <v>1</v>
      </c>
      <c r="AF211" s="50">
        <f t="shared" si="176"/>
        <v>1</v>
      </c>
      <c r="AG211" s="50">
        <f t="shared" si="176"/>
        <v>4</v>
      </c>
      <c r="AH211" s="50">
        <f t="shared" si="176"/>
        <v>2</v>
      </c>
      <c r="AI211" s="50">
        <f t="shared" si="176"/>
        <v>9</v>
      </c>
      <c r="AJ211" s="50">
        <f t="shared" si="176"/>
        <v>2</v>
      </c>
      <c r="AK211" s="50">
        <f t="shared" si="176"/>
        <v>2</v>
      </c>
      <c r="AL211" s="50">
        <f t="shared" si="176"/>
        <v>4</v>
      </c>
      <c r="AM211" s="50">
        <f t="shared" ref="AM211:AT211" si="177">AM198+AM199</f>
        <v>6</v>
      </c>
      <c r="AN211" s="50">
        <f t="shared" si="177"/>
        <v>7</v>
      </c>
      <c r="AO211" s="50">
        <f t="shared" si="177"/>
        <v>7</v>
      </c>
      <c r="AP211" s="50">
        <f t="shared" si="177"/>
        <v>9</v>
      </c>
      <c r="AQ211" s="50">
        <f t="shared" si="177"/>
        <v>5</v>
      </c>
      <c r="AR211" s="50">
        <f t="shared" si="177"/>
        <v>8</v>
      </c>
      <c r="AS211" s="50">
        <f t="shared" si="177"/>
        <v>5</v>
      </c>
      <c r="AT211" s="50">
        <f t="shared" si="177"/>
        <v>25</v>
      </c>
      <c r="AU211" s="50"/>
      <c r="AV211" s="8">
        <f t="shared" si="169"/>
        <v>12.666666666666666</v>
      </c>
      <c r="AW211" s="8">
        <f t="shared" si="170"/>
        <v>10.4</v>
      </c>
      <c r="AX211" s="8">
        <f t="shared" si="171"/>
        <v>7.8</v>
      </c>
      <c r="AY211" s="8"/>
      <c r="AZ211" s="47">
        <f t="shared" si="172"/>
        <v>2.2051282051282053</v>
      </c>
      <c r="BA211" s="15"/>
    </row>
    <row r="212" spans="2:53" ht="11.2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10"/>
      <c r="AW212" s="10"/>
      <c r="AX212" s="10"/>
      <c r="AY212" s="15"/>
      <c r="AZ212" s="15"/>
      <c r="BA212" s="15"/>
    </row>
    <row r="213" spans="2:53" ht="11.25" customHeight="1">
      <c r="B213" s="5" t="s">
        <v>48</v>
      </c>
      <c r="C213" s="5"/>
      <c r="D213" s="5" t="s">
        <v>122</v>
      </c>
      <c r="E213" s="5"/>
      <c r="F213" s="5"/>
      <c r="G213" s="5"/>
      <c r="H213" s="50">
        <f t="shared" ref="H213:AD213" si="178">SUM(H208:H211)</f>
        <v>0</v>
      </c>
      <c r="I213" s="50">
        <f t="shared" si="178"/>
        <v>0</v>
      </c>
      <c r="J213" s="50">
        <f t="shared" si="178"/>
        <v>9</v>
      </c>
      <c r="K213" s="50">
        <f t="shared" si="178"/>
        <v>19</v>
      </c>
      <c r="L213" s="50">
        <f t="shared" si="178"/>
        <v>22</v>
      </c>
      <c r="M213" s="50">
        <f t="shared" si="178"/>
        <v>37</v>
      </c>
      <c r="N213" s="50">
        <f t="shared" si="178"/>
        <v>49</v>
      </c>
      <c r="O213" s="50">
        <f t="shared" si="178"/>
        <v>65</v>
      </c>
      <c r="P213" s="50">
        <f t="shared" si="178"/>
        <v>62</v>
      </c>
      <c r="Q213" s="50">
        <f t="shared" si="178"/>
        <v>71</v>
      </c>
      <c r="R213" s="50">
        <f t="shared" si="178"/>
        <v>75</v>
      </c>
      <c r="S213" s="50">
        <f t="shared" si="178"/>
        <v>85</v>
      </c>
      <c r="T213" s="50">
        <f t="shared" si="178"/>
        <v>39</v>
      </c>
      <c r="U213" s="50">
        <f t="shared" si="178"/>
        <v>51</v>
      </c>
      <c r="V213" s="50">
        <f t="shared" si="178"/>
        <v>137</v>
      </c>
      <c r="W213" s="50">
        <f t="shared" si="178"/>
        <v>179</v>
      </c>
      <c r="X213" s="50">
        <f t="shared" si="178"/>
        <v>254</v>
      </c>
      <c r="Y213" s="50">
        <f t="shared" si="178"/>
        <v>190</v>
      </c>
      <c r="Z213" s="50">
        <f t="shared" si="178"/>
        <v>239</v>
      </c>
      <c r="AA213" s="50">
        <f t="shared" si="178"/>
        <v>187</v>
      </c>
      <c r="AB213" s="50">
        <f t="shared" si="178"/>
        <v>128</v>
      </c>
      <c r="AC213" s="50">
        <f t="shared" si="178"/>
        <v>203</v>
      </c>
      <c r="AD213" s="50">
        <f t="shared" si="178"/>
        <v>153</v>
      </c>
      <c r="AE213" s="50">
        <f t="shared" ref="AE213:AJ213" si="179">SUM(AE208:AE211)</f>
        <v>188</v>
      </c>
      <c r="AF213" s="50">
        <f t="shared" si="179"/>
        <v>213</v>
      </c>
      <c r="AG213" s="50">
        <f t="shared" si="179"/>
        <v>210</v>
      </c>
      <c r="AH213" s="50">
        <f t="shared" si="179"/>
        <v>213</v>
      </c>
      <c r="AI213" s="50">
        <f t="shared" si="179"/>
        <v>251</v>
      </c>
      <c r="AJ213" s="50">
        <f t="shared" si="179"/>
        <v>227</v>
      </c>
      <c r="AK213" s="50">
        <f t="shared" ref="AK213:AP213" si="180">SUM(AK208:AK211)</f>
        <v>244</v>
      </c>
      <c r="AL213" s="50">
        <f t="shared" si="180"/>
        <v>281</v>
      </c>
      <c r="AM213" s="50">
        <f t="shared" si="180"/>
        <v>277</v>
      </c>
      <c r="AN213" s="50">
        <f t="shared" si="180"/>
        <v>312</v>
      </c>
      <c r="AO213" s="50">
        <f t="shared" si="180"/>
        <v>309</v>
      </c>
      <c r="AP213" s="50">
        <f t="shared" si="180"/>
        <v>350</v>
      </c>
      <c r="AQ213" s="50">
        <f t="shared" ref="AQ213:AR213" si="181">SUM(AQ208:AQ211)</f>
        <v>312</v>
      </c>
      <c r="AR213" s="50">
        <f t="shared" si="181"/>
        <v>327</v>
      </c>
      <c r="AS213" s="50">
        <f t="shared" ref="AS213:AT213" si="182">SUM(AS208:AS211)</f>
        <v>341</v>
      </c>
      <c r="AT213" s="50">
        <f t="shared" si="182"/>
        <v>241</v>
      </c>
      <c r="AU213" s="50"/>
      <c r="AV213" s="8">
        <f t="shared" ref="AV213" si="183">IF(SUM(AR213:AT213)&gt;=0,AVERAGE(AR213:AT213),"")</f>
        <v>303</v>
      </c>
      <c r="AW213" s="8">
        <f>IF(SUM(AP213:AT213)&gt;=0,AVERAGE(AP213:AT213),"")</f>
        <v>314.2</v>
      </c>
      <c r="AX213" s="8">
        <f t="shared" ref="AX213" si="184">IF(SUM(AK213:AT213)&gt;=0,AVERAGE(AK213:AT213),"")</f>
        <v>299.39999999999998</v>
      </c>
      <c r="AY213" s="8"/>
      <c r="AZ213" s="47">
        <f t="shared" ref="AZ213" si="185">(AT213-AX213)/AX213</f>
        <v>-0.19505678022712084</v>
      </c>
      <c r="BA213" s="15"/>
    </row>
    <row r="214" spans="2:53" ht="11.2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0"/>
      <c r="AW214" s="10"/>
      <c r="AX214" s="10"/>
      <c r="AY214" s="15"/>
      <c r="AZ214" s="15"/>
      <c r="BA214" s="15"/>
    </row>
    <row r="215" spans="2:53" ht="11.2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0"/>
      <c r="AW215" s="10"/>
      <c r="AX215" s="10"/>
      <c r="AY215" s="15"/>
      <c r="AZ215" s="15"/>
      <c r="BA215" s="15"/>
    </row>
    <row r="216" spans="2:53" ht="22.5" customHeight="1">
      <c r="B216" s="20" t="s">
        <v>167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41"/>
      <c r="AZ216" s="41"/>
      <c r="BA216" s="41"/>
    </row>
    <row r="217" spans="2:53" ht="11.25" customHeight="1">
      <c r="B217" s="19"/>
      <c r="C217" s="1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0" t="str">
        <f>IF(AA217&gt;0,IF(AA217&gt;9,(AA217-Z217)/Z217,"&lt;10 cases"),"")</f>
        <v/>
      </c>
      <c r="AW217" s="10" t="str">
        <f>IF(AA217&gt;0,IF(AA217&gt;9,(AA217-(SUM(V217:Z217)/5))/AA217,"&lt;10 cases"),"")</f>
        <v/>
      </c>
      <c r="AX217" s="10" t="str">
        <f>IF(AA217&gt;0,IF(AA217&gt;9,(AA217-SUM(Q217:Z217)/10)/AA217,"&lt;10 cases"),"")</f>
        <v/>
      </c>
      <c r="AY217" s="15"/>
      <c r="AZ217" s="15"/>
      <c r="BA217" s="15"/>
    </row>
    <row r="218" spans="2:53" ht="11.25" customHeight="1">
      <c r="B218" s="5" t="s">
        <v>79</v>
      </c>
      <c r="C218" s="5" t="s">
        <v>80</v>
      </c>
      <c r="D218" s="5" t="s">
        <v>81</v>
      </c>
      <c r="E218" s="5"/>
      <c r="F218" s="5"/>
      <c r="G218" s="5"/>
      <c r="H218" s="5"/>
      <c r="I218" s="46" t="s">
        <v>124</v>
      </c>
      <c r="J218" s="46" t="s">
        <v>124</v>
      </c>
      <c r="K218" s="5">
        <v>31</v>
      </c>
      <c r="L218" s="5">
        <v>25</v>
      </c>
      <c r="M218" s="5">
        <v>30</v>
      </c>
      <c r="N218" s="5">
        <v>28</v>
      </c>
      <c r="O218" s="5">
        <v>30</v>
      </c>
      <c r="P218" s="5">
        <v>42</v>
      </c>
      <c r="Q218" s="5">
        <v>41</v>
      </c>
      <c r="R218" s="5">
        <v>37</v>
      </c>
      <c r="S218" s="5">
        <v>39</v>
      </c>
      <c r="T218" s="5">
        <v>40</v>
      </c>
      <c r="U218" s="5">
        <v>39</v>
      </c>
      <c r="V218" s="5">
        <v>35</v>
      </c>
      <c r="W218" s="5">
        <v>41</v>
      </c>
      <c r="X218" s="5">
        <v>37</v>
      </c>
      <c r="Y218" s="5">
        <v>38</v>
      </c>
      <c r="Z218" s="5">
        <v>43</v>
      </c>
      <c r="AA218" s="5">
        <v>44</v>
      </c>
      <c r="AB218" s="5">
        <v>45</v>
      </c>
      <c r="AC218" s="5">
        <v>42</v>
      </c>
      <c r="AD218" s="5">
        <v>39</v>
      </c>
      <c r="AE218" s="5">
        <v>35</v>
      </c>
      <c r="AF218" s="5">
        <v>46</v>
      </c>
      <c r="AG218" s="5">
        <v>34</v>
      </c>
      <c r="AH218" s="5">
        <v>44</v>
      </c>
      <c r="AI218" s="5">
        <v>38</v>
      </c>
      <c r="AJ218" s="5">
        <v>44</v>
      </c>
      <c r="AK218" s="5">
        <v>41</v>
      </c>
      <c r="AL218" s="5">
        <v>44</v>
      </c>
      <c r="AM218" s="5">
        <v>47</v>
      </c>
      <c r="AN218" s="5">
        <v>40</v>
      </c>
      <c r="AO218" s="5">
        <v>39</v>
      </c>
      <c r="AP218" s="5">
        <v>41</v>
      </c>
      <c r="AQ218" s="5">
        <v>45</v>
      </c>
      <c r="AR218" s="5">
        <v>43</v>
      </c>
      <c r="AS218" s="5">
        <v>39</v>
      </c>
      <c r="AT218" s="5">
        <v>39</v>
      </c>
      <c r="AU218" s="5"/>
      <c r="AV218" s="8">
        <f t="shared" ref="AV218" si="186">IF(SUM(AR218:AT218)&gt;=0,AVERAGE(AR218:AT218),"")</f>
        <v>40.333333333333336</v>
      </c>
      <c r="AW218" s="8">
        <f>IF(SUM(AP218:AT218)&gt;=0,AVERAGE(AP218:AT218),"")</f>
        <v>41.4</v>
      </c>
      <c r="AX218" s="8">
        <f t="shared" ref="AX218" si="187">IF(SUM(AK218:AT218)&gt;=0,AVERAGE(AK218:AT218),"")</f>
        <v>41.8</v>
      </c>
      <c r="AY218" s="8"/>
      <c r="AZ218" s="47">
        <f t="shared" ref="AZ218" si="188">(AT218-AX218)/AX218</f>
        <v>-6.6985645933014287E-2</v>
      </c>
      <c r="BA218" s="15"/>
    </row>
    <row r="219" spans="2:53" ht="11.25" customHeight="1">
      <c r="B219" s="5"/>
      <c r="C219" s="5" t="s">
        <v>218</v>
      </c>
      <c r="D219" s="5" t="s">
        <v>102</v>
      </c>
      <c r="E219" s="5"/>
      <c r="F219" s="5"/>
      <c r="G219" s="5"/>
      <c r="H219" s="5"/>
      <c r="I219" s="46" t="s">
        <v>124</v>
      </c>
      <c r="J219" s="46" t="s">
        <v>124</v>
      </c>
      <c r="K219" s="46" t="s">
        <v>124</v>
      </c>
      <c r="L219" s="46" t="s">
        <v>124</v>
      </c>
      <c r="M219" s="46" t="s">
        <v>124</v>
      </c>
      <c r="N219" s="46" t="s">
        <v>124</v>
      </c>
      <c r="O219" s="46" t="s">
        <v>124</v>
      </c>
      <c r="P219" s="46" t="s">
        <v>124</v>
      </c>
      <c r="Q219" s="46" t="s">
        <v>124</v>
      </c>
      <c r="R219" s="5">
        <v>0</v>
      </c>
      <c r="S219" s="5">
        <v>0</v>
      </c>
      <c r="T219" s="5">
        <v>0</v>
      </c>
      <c r="U219" s="5">
        <v>1</v>
      </c>
      <c r="V219" s="5">
        <v>2</v>
      </c>
      <c r="W219" s="5">
        <v>3</v>
      </c>
      <c r="X219" s="5">
        <v>1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2</v>
      </c>
      <c r="AE219" s="5">
        <v>1</v>
      </c>
      <c r="AF219" s="5">
        <v>0</v>
      </c>
      <c r="AG219" s="5">
        <v>0</v>
      </c>
      <c r="AH219" s="5">
        <v>0</v>
      </c>
      <c r="AI219" s="5">
        <v>0</v>
      </c>
      <c r="AJ219" s="5">
        <v>1</v>
      </c>
      <c r="AK219" s="5">
        <v>2</v>
      </c>
      <c r="AL219" s="5">
        <v>1</v>
      </c>
      <c r="AM219" s="5">
        <v>0</v>
      </c>
      <c r="AN219" s="5">
        <v>1</v>
      </c>
      <c r="AO219" s="5">
        <v>1</v>
      </c>
      <c r="AP219" s="5"/>
      <c r="AQ219" s="5"/>
      <c r="AR219" s="5"/>
      <c r="AS219" s="5"/>
      <c r="AT219" s="5"/>
      <c r="AU219" s="5"/>
      <c r="AV219" s="6" t="s">
        <v>125</v>
      </c>
      <c r="AW219" s="6" t="s">
        <v>125</v>
      </c>
      <c r="AX219" s="6" t="s">
        <v>125</v>
      </c>
      <c r="AY219" s="15"/>
      <c r="AZ219" s="15"/>
      <c r="BA219" s="15"/>
    </row>
    <row r="220" spans="2:53" ht="11.25" customHeight="1">
      <c r="B220" s="5"/>
      <c r="C220" s="5"/>
      <c r="D220" s="5" t="s">
        <v>139</v>
      </c>
      <c r="E220" s="5"/>
      <c r="F220" s="5"/>
      <c r="G220" s="5"/>
      <c r="H220" s="5"/>
      <c r="I220" s="46" t="s">
        <v>124</v>
      </c>
      <c r="J220" s="46" t="s">
        <v>124</v>
      </c>
      <c r="K220" s="46" t="s">
        <v>124</v>
      </c>
      <c r="L220" s="46" t="s">
        <v>124</v>
      </c>
      <c r="M220" s="46" t="s">
        <v>124</v>
      </c>
      <c r="N220" s="46" t="s">
        <v>124</v>
      </c>
      <c r="O220" s="46" t="s">
        <v>124</v>
      </c>
      <c r="P220" s="46" t="s">
        <v>124</v>
      </c>
      <c r="Q220" s="46" t="s">
        <v>124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1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1</v>
      </c>
      <c r="AD220" s="5">
        <v>1</v>
      </c>
      <c r="AE220" s="5">
        <v>1</v>
      </c>
      <c r="AF220" s="5">
        <v>2</v>
      </c>
      <c r="AG220" s="5">
        <v>0</v>
      </c>
      <c r="AH220" s="5">
        <v>1</v>
      </c>
      <c r="AI220" s="5">
        <v>1</v>
      </c>
      <c r="AJ220" s="5">
        <v>0</v>
      </c>
      <c r="AK220" s="5">
        <v>0</v>
      </c>
      <c r="AL220" s="5">
        <v>0</v>
      </c>
      <c r="AM220" s="5">
        <v>0</v>
      </c>
      <c r="AN220" s="5">
        <v>1</v>
      </c>
      <c r="AO220" s="5">
        <v>0</v>
      </c>
      <c r="AP220" s="5">
        <v>1</v>
      </c>
      <c r="AQ220" s="5"/>
      <c r="AR220" s="5"/>
      <c r="AS220" s="5"/>
      <c r="AT220" s="5"/>
      <c r="AU220" s="5"/>
      <c r="AV220" s="6" t="s">
        <v>125</v>
      </c>
      <c r="AW220" s="6" t="s">
        <v>125</v>
      </c>
      <c r="AX220" s="6" t="s">
        <v>125</v>
      </c>
      <c r="AY220" s="15"/>
      <c r="AZ220" s="15"/>
      <c r="BA220" s="15"/>
    </row>
    <row r="221" spans="2:53" ht="11.2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10"/>
      <c r="AW221" s="10"/>
      <c r="AX221" s="10"/>
      <c r="AY221" s="15"/>
      <c r="AZ221" s="15"/>
      <c r="BA221" s="15"/>
    </row>
    <row r="222" spans="2:53" ht="11.25" customHeight="1">
      <c r="B222" s="5" t="s">
        <v>58</v>
      </c>
      <c r="C222" s="5"/>
      <c r="D222" s="49" t="s">
        <v>123</v>
      </c>
      <c r="E222" s="5"/>
      <c r="F222" s="5"/>
      <c r="G222" s="5"/>
      <c r="H222" s="5"/>
      <c r="I222" s="46" t="s">
        <v>124</v>
      </c>
      <c r="J222" s="46" t="s">
        <v>124</v>
      </c>
      <c r="K222" s="50">
        <f t="shared" ref="K222:AC224" si="189">K218</f>
        <v>31</v>
      </c>
      <c r="L222" s="50">
        <f t="shared" si="189"/>
        <v>25</v>
      </c>
      <c r="M222" s="50">
        <f t="shared" si="189"/>
        <v>30</v>
      </c>
      <c r="N222" s="50">
        <f t="shared" si="189"/>
        <v>28</v>
      </c>
      <c r="O222" s="50">
        <f t="shared" si="189"/>
        <v>30</v>
      </c>
      <c r="P222" s="50">
        <f t="shared" si="189"/>
        <v>42</v>
      </c>
      <c r="Q222" s="50">
        <f t="shared" si="189"/>
        <v>41</v>
      </c>
      <c r="R222" s="50">
        <f t="shared" si="189"/>
        <v>37</v>
      </c>
      <c r="S222" s="50">
        <f t="shared" si="189"/>
        <v>39</v>
      </c>
      <c r="T222" s="50">
        <f t="shared" si="189"/>
        <v>40</v>
      </c>
      <c r="U222" s="50">
        <f t="shared" si="189"/>
        <v>39</v>
      </c>
      <c r="V222" s="50">
        <f t="shared" si="189"/>
        <v>35</v>
      </c>
      <c r="W222" s="50">
        <f t="shared" si="189"/>
        <v>41</v>
      </c>
      <c r="X222" s="50">
        <f t="shared" si="189"/>
        <v>37</v>
      </c>
      <c r="Y222" s="50">
        <f t="shared" si="189"/>
        <v>38</v>
      </c>
      <c r="Z222" s="50">
        <f t="shared" si="189"/>
        <v>43</v>
      </c>
      <c r="AA222" s="50">
        <f t="shared" si="189"/>
        <v>44</v>
      </c>
      <c r="AB222" s="50">
        <f t="shared" si="189"/>
        <v>45</v>
      </c>
      <c r="AC222" s="50">
        <f t="shared" si="189"/>
        <v>42</v>
      </c>
      <c r="AD222" s="50">
        <f t="shared" ref="AD222:AE224" si="190">AD218</f>
        <v>39</v>
      </c>
      <c r="AE222" s="50">
        <f t="shared" si="190"/>
        <v>35</v>
      </c>
      <c r="AF222" s="50">
        <f t="shared" ref="AF222:AG224" si="191">AF218</f>
        <v>46</v>
      </c>
      <c r="AG222" s="50">
        <f t="shared" si="191"/>
        <v>34</v>
      </c>
      <c r="AH222" s="50">
        <f t="shared" ref="AH222:AI224" si="192">AH218</f>
        <v>44</v>
      </c>
      <c r="AI222" s="50">
        <f t="shared" si="192"/>
        <v>38</v>
      </c>
      <c r="AJ222" s="50">
        <f t="shared" ref="AJ222:AK224" si="193">AJ218</f>
        <v>44</v>
      </c>
      <c r="AK222" s="50">
        <f t="shared" si="193"/>
        <v>41</v>
      </c>
      <c r="AL222" s="50">
        <f t="shared" ref="AL222:AM224" si="194">AL218</f>
        <v>44</v>
      </c>
      <c r="AM222" s="50">
        <f t="shared" si="194"/>
        <v>47</v>
      </c>
      <c r="AN222" s="50">
        <f t="shared" ref="AN222:AO224" si="195">AN218</f>
        <v>40</v>
      </c>
      <c r="AO222" s="50">
        <f t="shared" si="195"/>
        <v>39</v>
      </c>
      <c r="AP222" s="50">
        <f t="shared" ref="AP222:AQ222" si="196">AP218</f>
        <v>41</v>
      </c>
      <c r="AQ222" s="50">
        <f t="shared" si="196"/>
        <v>45</v>
      </c>
      <c r="AR222" s="50">
        <f t="shared" ref="AR222:AS222" si="197">AR218</f>
        <v>43</v>
      </c>
      <c r="AS222" s="50">
        <f t="shared" si="197"/>
        <v>39</v>
      </c>
      <c r="AT222" s="50">
        <f t="shared" ref="AT222" si="198">AT218</f>
        <v>39</v>
      </c>
      <c r="AU222" s="50"/>
      <c r="AV222" s="8">
        <f t="shared" ref="AV222" si="199">IF(SUM(AR222:AT222)&gt;=0,AVERAGE(AR222:AT222),"")</f>
        <v>40.333333333333336</v>
      </c>
      <c r="AW222" s="8">
        <f>IF(SUM(AP222:AT222)&gt;=0,AVERAGE(AP222:AT222),"")</f>
        <v>41.4</v>
      </c>
      <c r="AX222" s="8">
        <f t="shared" ref="AX222" si="200">IF(SUM(AK222:AT222)&gt;=0,AVERAGE(AK222:AT222),"")</f>
        <v>41.8</v>
      </c>
      <c r="AY222" s="8"/>
      <c r="AZ222" s="47">
        <f t="shared" ref="AZ222" si="201">(AT222-AX222)/AX222</f>
        <v>-6.6985645933014287E-2</v>
      </c>
      <c r="BA222" s="15"/>
    </row>
    <row r="223" spans="2:53" ht="11.25" customHeight="1">
      <c r="B223" s="5"/>
      <c r="C223" s="5"/>
      <c r="D223" s="49" t="s">
        <v>3</v>
      </c>
      <c r="E223" s="5"/>
      <c r="F223" s="5"/>
      <c r="G223" s="5"/>
      <c r="H223" s="5"/>
      <c r="I223" s="46" t="s">
        <v>124</v>
      </c>
      <c r="J223" s="46" t="s">
        <v>124</v>
      </c>
      <c r="K223" s="46" t="s">
        <v>124</v>
      </c>
      <c r="L223" s="46" t="s">
        <v>124</v>
      </c>
      <c r="M223" s="46" t="s">
        <v>124</v>
      </c>
      <c r="N223" s="46" t="s">
        <v>124</v>
      </c>
      <c r="O223" s="46" t="s">
        <v>124</v>
      </c>
      <c r="P223" s="46" t="s">
        <v>124</v>
      </c>
      <c r="Q223" s="46" t="s">
        <v>124</v>
      </c>
      <c r="R223" s="50">
        <f t="shared" si="189"/>
        <v>0</v>
      </c>
      <c r="S223" s="50">
        <f t="shared" si="189"/>
        <v>0</v>
      </c>
      <c r="T223" s="50">
        <f t="shared" si="189"/>
        <v>0</v>
      </c>
      <c r="U223" s="50">
        <f t="shared" si="189"/>
        <v>1</v>
      </c>
      <c r="V223" s="50">
        <f t="shared" si="189"/>
        <v>2</v>
      </c>
      <c r="W223" s="50">
        <f t="shared" si="189"/>
        <v>3</v>
      </c>
      <c r="X223" s="50">
        <f t="shared" si="189"/>
        <v>1</v>
      </c>
      <c r="Y223" s="50">
        <f t="shared" si="189"/>
        <v>0</v>
      </c>
      <c r="Z223" s="50">
        <f t="shared" si="189"/>
        <v>0</v>
      </c>
      <c r="AA223" s="50">
        <f t="shared" si="189"/>
        <v>0</v>
      </c>
      <c r="AB223" s="50">
        <f t="shared" si="189"/>
        <v>0</v>
      </c>
      <c r="AC223" s="50">
        <f t="shared" si="189"/>
        <v>0</v>
      </c>
      <c r="AD223" s="50">
        <f t="shared" si="190"/>
        <v>2</v>
      </c>
      <c r="AE223" s="50">
        <f t="shared" si="190"/>
        <v>1</v>
      </c>
      <c r="AF223" s="50">
        <f t="shared" si="191"/>
        <v>0</v>
      </c>
      <c r="AG223" s="50">
        <f t="shared" si="191"/>
        <v>0</v>
      </c>
      <c r="AH223" s="50">
        <f t="shared" si="192"/>
        <v>0</v>
      </c>
      <c r="AI223" s="50">
        <f t="shared" si="192"/>
        <v>0</v>
      </c>
      <c r="AJ223" s="50">
        <f t="shared" si="193"/>
        <v>1</v>
      </c>
      <c r="AK223" s="50">
        <f t="shared" si="193"/>
        <v>2</v>
      </c>
      <c r="AL223" s="50">
        <f t="shared" si="194"/>
        <v>1</v>
      </c>
      <c r="AM223" s="50">
        <f t="shared" si="194"/>
        <v>0</v>
      </c>
      <c r="AN223" s="50">
        <f t="shared" si="195"/>
        <v>1</v>
      </c>
      <c r="AO223" s="50">
        <f t="shared" si="195"/>
        <v>1</v>
      </c>
      <c r="AP223" s="50"/>
      <c r="AQ223" s="50"/>
      <c r="AR223" s="50"/>
      <c r="AS223" s="50"/>
      <c r="AT223" s="50"/>
      <c r="AU223" s="5"/>
      <c r="AV223" s="6" t="s">
        <v>125</v>
      </c>
      <c r="AW223" s="6" t="s">
        <v>125</v>
      </c>
      <c r="AX223" s="6" t="s">
        <v>125</v>
      </c>
      <c r="AY223" s="15"/>
      <c r="AZ223" s="15"/>
      <c r="BA223" s="15"/>
    </row>
    <row r="224" spans="2:53" ht="11.25" customHeight="1">
      <c r="B224" s="5"/>
      <c r="C224" s="5"/>
      <c r="D224" s="49" t="s">
        <v>4</v>
      </c>
      <c r="E224" s="5"/>
      <c r="F224" s="5"/>
      <c r="G224" s="5"/>
      <c r="H224" s="5"/>
      <c r="I224" s="46" t="s">
        <v>124</v>
      </c>
      <c r="J224" s="46" t="s">
        <v>124</v>
      </c>
      <c r="K224" s="46" t="s">
        <v>124</v>
      </c>
      <c r="L224" s="46" t="s">
        <v>124</v>
      </c>
      <c r="M224" s="46" t="s">
        <v>124</v>
      </c>
      <c r="N224" s="46" t="s">
        <v>124</v>
      </c>
      <c r="O224" s="46" t="s">
        <v>124</v>
      </c>
      <c r="P224" s="46" t="s">
        <v>124</v>
      </c>
      <c r="Q224" s="46" t="s">
        <v>124</v>
      </c>
      <c r="R224" s="50">
        <f t="shared" si="189"/>
        <v>0</v>
      </c>
      <c r="S224" s="50">
        <f t="shared" si="189"/>
        <v>0</v>
      </c>
      <c r="T224" s="50">
        <f t="shared" si="189"/>
        <v>0</v>
      </c>
      <c r="U224" s="50">
        <f t="shared" si="189"/>
        <v>0</v>
      </c>
      <c r="V224" s="50">
        <f t="shared" si="189"/>
        <v>0</v>
      </c>
      <c r="W224" s="50">
        <f t="shared" si="189"/>
        <v>1</v>
      </c>
      <c r="X224" s="50">
        <f t="shared" si="189"/>
        <v>0</v>
      </c>
      <c r="Y224" s="50">
        <f t="shared" si="189"/>
        <v>0</v>
      </c>
      <c r="Z224" s="50">
        <f t="shared" si="189"/>
        <v>0</v>
      </c>
      <c r="AA224" s="50">
        <f t="shared" si="189"/>
        <v>0</v>
      </c>
      <c r="AB224" s="50">
        <f t="shared" si="189"/>
        <v>0</v>
      </c>
      <c r="AC224" s="50">
        <f t="shared" si="189"/>
        <v>1</v>
      </c>
      <c r="AD224" s="50">
        <f t="shared" si="190"/>
        <v>1</v>
      </c>
      <c r="AE224" s="50">
        <f t="shared" si="190"/>
        <v>1</v>
      </c>
      <c r="AF224" s="50">
        <f t="shared" si="191"/>
        <v>2</v>
      </c>
      <c r="AG224" s="50">
        <f t="shared" si="191"/>
        <v>0</v>
      </c>
      <c r="AH224" s="50">
        <f t="shared" si="192"/>
        <v>1</v>
      </c>
      <c r="AI224" s="50">
        <f t="shared" si="192"/>
        <v>1</v>
      </c>
      <c r="AJ224" s="50">
        <f t="shared" si="193"/>
        <v>0</v>
      </c>
      <c r="AK224" s="50">
        <f t="shared" si="193"/>
        <v>0</v>
      </c>
      <c r="AL224" s="50">
        <f t="shared" si="194"/>
        <v>0</v>
      </c>
      <c r="AM224" s="50">
        <f t="shared" si="194"/>
        <v>0</v>
      </c>
      <c r="AN224" s="50">
        <f t="shared" si="195"/>
        <v>1</v>
      </c>
      <c r="AO224" s="50">
        <f t="shared" si="195"/>
        <v>0</v>
      </c>
      <c r="AP224" s="50">
        <f t="shared" ref="AP224" si="202">AP220</f>
        <v>1</v>
      </c>
      <c r="AQ224" s="50"/>
      <c r="AR224" s="50"/>
      <c r="AS224" s="50"/>
      <c r="AT224" s="50"/>
      <c r="AU224" s="5"/>
      <c r="AV224" s="6" t="s">
        <v>125</v>
      </c>
      <c r="AW224" s="6" t="s">
        <v>125</v>
      </c>
      <c r="AX224" s="6" t="s">
        <v>125</v>
      </c>
      <c r="AY224" s="15"/>
      <c r="AZ224" s="15"/>
      <c r="BA224" s="15"/>
    </row>
    <row r="225" spans="2:53" ht="11.25" customHeight="1">
      <c r="B225" s="5"/>
      <c r="C225" s="5"/>
      <c r="D225" s="5"/>
      <c r="E225" s="5"/>
      <c r="F225" s="5"/>
      <c r="G225" s="5"/>
      <c r="H225" s="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0"/>
      <c r="AW225" s="10"/>
      <c r="AX225" s="10"/>
      <c r="AY225" s="15"/>
      <c r="AZ225" s="15"/>
      <c r="BA225" s="15"/>
    </row>
    <row r="226" spans="2:53" ht="11.25" customHeight="1">
      <c r="B226" s="5" t="s">
        <v>107</v>
      </c>
      <c r="C226" s="5"/>
      <c r="D226" s="5" t="s">
        <v>122</v>
      </c>
      <c r="E226" s="5"/>
      <c r="F226" s="5"/>
      <c r="G226" s="5"/>
      <c r="H226" s="5"/>
      <c r="I226" s="46" t="s">
        <v>124</v>
      </c>
      <c r="J226" s="46" t="s">
        <v>124</v>
      </c>
      <c r="K226" s="50">
        <f t="shared" ref="K226:AC226" si="203">SUM(K222:K224)</f>
        <v>31</v>
      </c>
      <c r="L226" s="50">
        <f t="shared" si="203"/>
        <v>25</v>
      </c>
      <c r="M226" s="50">
        <f t="shared" si="203"/>
        <v>30</v>
      </c>
      <c r="N226" s="50">
        <f t="shared" si="203"/>
        <v>28</v>
      </c>
      <c r="O226" s="50">
        <f t="shared" si="203"/>
        <v>30</v>
      </c>
      <c r="P226" s="50">
        <f t="shared" si="203"/>
        <v>42</v>
      </c>
      <c r="Q226" s="50">
        <f t="shared" si="203"/>
        <v>41</v>
      </c>
      <c r="R226" s="50">
        <f t="shared" si="203"/>
        <v>37</v>
      </c>
      <c r="S226" s="50">
        <f t="shared" si="203"/>
        <v>39</v>
      </c>
      <c r="T226" s="50">
        <f t="shared" si="203"/>
        <v>40</v>
      </c>
      <c r="U226" s="50">
        <f t="shared" si="203"/>
        <v>40</v>
      </c>
      <c r="V226" s="50">
        <f t="shared" si="203"/>
        <v>37</v>
      </c>
      <c r="W226" s="50">
        <f t="shared" si="203"/>
        <v>45</v>
      </c>
      <c r="X226" s="50">
        <f t="shared" si="203"/>
        <v>38</v>
      </c>
      <c r="Y226" s="50">
        <f t="shared" si="203"/>
        <v>38</v>
      </c>
      <c r="Z226" s="50">
        <f t="shared" si="203"/>
        <v>43</v>
      </c>
      <c r="AA226" s="50">
        <f t="shared" si="203"/>
        <v>44</v>
      </c>
      <c r="AB226" s="50">
        <f t="shared" si="203"/>
        <v>45</v>
      </c>
      <c r="AC226" s="50">
        <f t="shared" si="203"/>
        <v>43</v>
      </c>
      <c r="AD226" s="50">
        <f t="shared" ref="AD226:AI226" si="204">SUM(AD222:AD224)</f>
        <v>42</v>
      </c>
      <c r="AE226" s="50">
        <f t="shared" si="204"/>
        <v>37</v>
      </c>
      <c r="AF226" s="50">
        <f t="shared" si="204"/>
        <v>48</v>
      </c>
      <c r="AG226" s="50">
        <f t="shared" si="204"/>
        <v>34</v>
      </c>
      <c r="AH226" s="50">
        <f t="shared" si="204"/>
        <v>45</v>
      </c>
      <c r="AI226" s="50">
        <f t="shared" si="204"/>
        <v>39</v>
      </c>
      <c r="AJ226" s="50">
        <f t="shared" ref="AJ226:AO226" si="205">SUM(AJ222:AJ224)</f>
        <v>45</v>
      </c>
      <c r="AK226" s="50">
        <f t="shared" si="205"/>
        <v>43</v>
      </c>
      <c r="AL226" s="50">
        <f t="shared" si="205"/>
        <v>45</v>
      </c>
      <c r="AM226" s="50">
        <f t="shared" si="205"/>
        <v>47</v>
      </c>
      <c r="AN226" s="50">
        <f t="shared" si="205"/>
        <v>42</v>
      </c>
      <c r="AO226" s="50">
        <f t="shared" si="205"/>
        <v>40</v>
      </c>
      <c r="AP226" s="50">
        <f t="shared" ref="AP226" si="206">SUM(AP222:AP224)</f>
        <v>42</v>
      </c>
      <c r="AQ226" s="50">
        <f>AQ222</f>
        <v>45</v>
      </c>
      <c r="AR226" s="50">
        <f>AR222</f>
        <v>43</v>
      </c>
      <c r="AS226" s="50">
        <f>AS222</f>
        <v>39</v>
      </c>
      <c r="AT226" s="50">
        <f>AT222</f>
        <v>39</v>
      </c>
      <c r="AU226" s="50"/>
      <c r="AV226" s="8">
        <f t="shared" ref="AV226" si="207">IF(SUM(AR226:AT226)&gt;=0,AVERAGE(AR226:AT226),"")</f>
        <v>40.333333333333336</v>
      </c>
      <c r="AW226" s="8">
        <f>IF(SUM(AP226:AT226)&gt;=0,AVERAGE(AP226:AT226),"")</f>
        <v>41.6</v>
      </c>
      <c r="AX226" s="8">
        <f t="shared" ref="AX226" si="208">IF(SUM(AK226:AT226)&gt;=0,AVERAGE(AK226:AT226),"")</f>
        <v>42.5</v>
      </c>
      <c r="AY226" s="8"/>
      <c r="AZ226" s="47">
        <f t="shared" ref="AZ226" si="209">(AT226-AX226)/AX226</f>
        <v>-8.2352941176470587E-2</v>
      </c>
      <c r="BA226" s="15"/>
    </row>
    <row r="227" spans="2:53" ht="11.2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0"/>
      <c r="AW227" s="10"/>
      <c r="AX227" s="10"/>
      <c r="AY227" s="15"/>
      <c r="AZ227" s="15"/>
      <c r="BA227" s="15"/>
    </row>
    <row r="228" spans="2:53" ht="11.2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0"/>
      <c r="AW228" s="10"/>
      <c r="AX228" s="10"/>
      <c r="AY228" s="15"/>
      <c r="AZ228" s="15"/>
      <c r="BA228" s="15"/>
    </row>
    <row r="229" spans="2:53" ht="22.5" customHeight="1">
      <c r="B229" s="20" t="s">
        <v>49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41"/>
      <c r="AZ229" s="41"/>
      <c r="BA229" s="41"/>
    </row>
    <row r="230" spans="2:53" ht="11.2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0"/>
      <c r="AW230" s="10"/>
      <c r="AX230" s="10"/>
      <c r="AY230" s="15"/>
      <c r="AZ230" s="15"/>
      <c r="BA230" s="15"/>
    </row>
    <row r="231" spans="2:53" ht="11.25" customHeight="1">
      <c r="B231" s="5" t="s">
        <v>50</v>
      </c>
      <c r="C231" s="5" t="s">
        <v>361</v>
      </c>
      <c r="D231" s="5" t="s">
        <v>51</v>
      </c>
      <c r="E231" s="5">
        <v>41</v>
      </c>
      <c r="F231" s="5">
        <v>48</v>
      </c>
      <c r="G231" s="5">
        <v>37</v>
      </c>
      <c r="H231" s="5">
        <v>33</v>
      </c>
      <c r="I231" s="5">
        <v>35</v>
      </c>
      <c r="J231" s="5">
        <v>29</v>
      </c>
      <c r="K231" s="5">
        <v>39</v>
      </c>
      <c r="L231" s="5">
        <v>28</v>
      </c>
      <c r="M231" s="5">
        <v>35</v>
      </c>
      <c r="N231" s="5">
        <v>37</v>
      </c>
      <c r="O231" s="5">
        <v>15</v>
      </c>
      <c r="P231" s="5">
        <v>31</v>
      </c>
      <c r="Q231" s="5">
        <v>38</v>
      </c>
      <c r="R231" s="5">
        <v>40</v>
      </c>
      <c r="S231" s="5">
        <v>41</v>
      </c>
      <c r="T231" s="5">
        <v>37</v>
      </c>
      <c r="U231" s="5">
        <v>50</v>
      </c>
      <c r="V231" s="5">
        <v>73</v>
      </c>
      <c r="W231" s="5">
        <f>1+56</f>
        <v>57</v>
      </c>
      <c r="X231" s="5">
        <v>50</v>
      </c>
      <c r="Y231" s="5">
        <v>64</v>
      </c>
      <c r="Z231" s="5">
        <v>78</v>
      </c>
      <c r="AA231" s="5">
        <f>1+52</f>
        <v>53</v>
      </c>
      <c r="AB231" s="5">
        <v>62</v>
      </c>
      <c r="AC231" s="5">
        <v>66</v>
      </c>
      <c r="AD231" s="5">
        <v>36</v>
      </c>
      <c r="AE231" s="5">
        <v>64</v>
      </c>
      <c r="AF231" s="5">
        <v>46</v>
      </c>
      <c r="AG231" s="5">
        <v>45</v>
      </c>
      <c r="AH231" s="5">
        <v>54</v>
      </c>
      <c r="AI231" s="5">
        <v>66</v>
      </c>
      <c r="AJ231" s="5">
        <v>59</v>
      </c>
      <c r="AK231" s="5">
        <v>62</v>
      </c>
      <c r="AL231" s="5">
        <v>58</v>
      </c>
      <c r="AM231" s="5">
        <v>67</v>
      </c>
      <c r="AN231" s="5">
        <v>47</v>
      </c>
      <c r="AO231" s="5">
        <v>72</v>
      </c>
      <c r="AP231" s="5">
        <v>60</v>
      </c>
      <c r="AQ231" s="5">
        <f>25+54</f>
        <v>79</v>
      </c>
      <c r="AR231" s="5">
        <v>76</v>
      </c>
      <c r="AS231" s="5">
        <v>90</v>
      </c>
      <c r="AT231" s="5">
        <v>81</v>
      </c>
      <c r="AU231" s="5"/>
      <c r="AV231" s="8">
        <f t="shared" ref="AV231:AV232" si="210">IF(SUM(AR231:AT231)&gt;=0,AVERAGE(AR231:AT231),"")</f>
        <v>82.333333333333329</v>
      </c>
      <c r="AW231" s="6" t="s">
        <v>125</v>
      </c>
      <c r="AX231" s="6" t="s">
        <v>125</v>
      </c>
      <c r="AY231" s="15"/>
      <c r="AZ231" s="15"/>
      <c r="BA231" s="15"/>
    </row>
    <row r="232" spans="2:53" ht="11.25" customHeight="1">
      <c r="B232" s="5"/>
      <c r="C232" s="5"/>
      <c r="D232" s="5" t="s">
        <v>151</v>
      </c>
      <c r="E232" s="5"/>
      <c r="F232" s="5"/>
      <c r="G232" s="5"/>
      <c r="H232" s="5"/>
      <c r="I232" s="46" t="s">
        <v>124</v>
      </c>
      <c r="J232" s="46" t="s">
        <v>124</v>
      </c>
      <c r="K232" s="46" t="s">
        <v>124</v>
      </c>
      <c r="L232" s="46" t="s">
        <v>124</v>
      </c>
      <c r="M232" s="46" t="s">
        <v>124</v>
      </c>
      <c r="N232" s="46" t="s">
        <v>124</v>
      </c>
      <c r="O232" s="46" t="s">
        <v>124</v>
      </c>
      <c r="P232" s="46" t="s">
        <v>124</v>
      </c>
      <c r="Q232" s="46" t="s">
        <v>124</v>
      </c>
      <c r="R232" s="46" t="s">
        <v>124</v>
      </c>
      <c r="S232" s="46" t="s">
        <v>124</v>
      </c>
      <c r="T232" s="46" t="s">
        <v>124</v>
      </c>
      <c r="U232" s="46" t="s">
        <v>124</v>
      </c>
      <c r="V232" s="46" t="s">
        <v>124</v>
      </c>
      <c r="W232" s="46"/>
      <c r="X232" s="46"/>
      <c r="Y232" s="46"/>
      <c r="Z232" s="5">
        <v>0</v>
      </c>
      <c r="AA232" s="5">
        <v>1</v>
      </c>
      <c r="AB232" s="5">
        <v>14</v>
      </c>
      <c r="AC232" s="5">
        <v>28</v>
      </c>
      <c r="AD232" s="5">
        <v>26</v>
      </c>
      <c r="AE232" s="5">
        <v>31</v>
      </c>
      <c r="AF232" s="5">
        <v>43</v>
      </c>
      <c r="AG232" s="5">
        <v>36</v>
      </c>
      <c r="AH232" s="5">
        <v>33</v>
      </c>
      <c r="AI232" s="5">
        <v>37</v>
      </c>
      <c r="AJ232" s="5">
        <v>43</v>
      </c>
      <c r="AK232" s="5">
        <v>31</v>
      </c>
      <c r="AL232" s="5">
        <v>57</v>
      </c>
      <c r="AM232" s="5">
        <v>34</v>
      </c>
      <c r="AN232" s="5">
        <v>53</v>
      </c>
      <c r="AO232" s="5">
        <v>58</v>
      </c>
      <c r="AP232" s="5">
        <v>38</v>
      </c>
      <c r="AQ232" s="5">
        <f>33+33</f>
        <v>66</v>
      </c>
      <c r="AR232" s="5">
        <v>54</v>
      </c>
      <c r="AS232" s="5">
        <v>52</v>
      </c>
      <c r="AT232" s="5">
        <v>71</v>
      </c>
      <c r="AU232" s="5"/>
      <c r="AV232" s="8">
        <f t="shared" si="210"/>
        <v>59</v>
      </c>
      <c r="AW232" s="6" t="s">
        <v>125</v>
      </c>
      <c r="AX232" s="6" t="s">
        <v>125</v>
      </c>
      <c r="AY232" s="15"/>
      <c r="AZ232" s="15"/>
      <c r="BA232" s="15"/>
    </row>
    <row r="233" spans="2:53" ht="11.2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6"/>
      <c r="AW233" s="6"/>
      <c r="AX233" s="6"/>
      <c r="AY233" s="15"/>
      <c r="AZ233" s="15"/>
      <c r="BA233" s="15"/>
    </row>
    <row r="234" spans="2:53" ht="11.25" customHeight="1">
      <c r="B234" s="5"/>
      <c r="C234" s="5" t="s">
        <v>223</v>
      </c>
      <c r="D234" s="5" t="s">
        <v>134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16"/>
      <c r="AC234" s="16"/>
      <c r="AD234" s="16"/>
      <c r="AE234" s="16"/>
      <c r="AF234" s="16"/>
      <c r="AG234" s="16"/>
      <c r="AH234" s="16"/>
      <c r="AI234" s="5">
        <v>1</v>
      </c>
      <c r="AJ234" s="5">
        <v>7</v>
      </c>
      <c r="AK234" s="5">
        <v>8</v>
      </c>
      <c r="AL234" s="5">
        <v>3</v>
      </c>
      <c r="AM234" s="5">
        <v>5</v>
      </c>
      <c r="AN234" s="5">
        <v>10</v>
      </c>
      <c r="AO234" s="5">
        <v>2</v>
      </c>
      <c r="AP234" s="5">
        <v>2</v>
      </c>
      <c r="AQ234" s="5">
        <v>4</v>
      </c>
      <c r="AR234" s="5">
        <v>5</v>
      </c>
      <c r="AS234" s="5">
        <v>3</v>
      </c>
      <c r="AT234" s="5">
        <v>6</v>
      </c>
      <c r="AU234" s="16"/>
      <c r="AV234" s="8">
        <f t="shared" ref="AV234:AV235" si="211">IF(SUM(AR234:AT234)&gt;=0,AVERAGE(AR234:AT234),"")</f>
        <v>4.666666666666667</v>
      </c>
      <c r="AW234" s="8">
        <f t="shared" ref="AW234:AW235" si="212">IF(SUM(AP234:AT234)&gt;=0,AVERAGE(AP234:AT234),"")</f>
        <v>4</v>
      </c>
      <c r="AX234" s="8">
        <f t="shared" ref="AX234:AX235" si="213">IF(SUM(AK234:AT234)&gt;=0,AVERAGE(AK234:AT234),"")</f>
        <v>4.8</v>
      </c>
      <c r="AY234" s="8"/>
      <c r="AZ234" s="47">
        <f t="shared" ref="AZ234:AZ235" si="214">(AT234-AX234)/AX234</f>
        <v>0.25000000000000006</v>
      </c>
      <c r="BA234" s="15"/>
    </row>
    <row r="235" spans="2:53" ht="11.25" customHeight="1">
      <c r="B235" s="5"/>
      <c r="C235" s="5"/>
      <c r="D235" s="5" t="s">
        <v>115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16"/>
      <c r="AC235" s="16"/>
      <c r="AD235" s="16"/>
      <c r="AE235" s="16"/>
      <c r="AF235" s="16"/>
      <c r="AG235" s="16"/>
      <c r="AH235" s="16"/>
      <c r="AI235" s="5"/>
      <c r="AJ235" s="5">
        <v>6</v>
      </c>
      <c r="AK235" s="5">
        <v>8</v>
      </c>
      <c r="AL235" s="5">
        <v>11</v>
      </c>
      <c r="AM235" s="5">
        <v>9</v>
      </c>
      <c r="AN235" s="5">
        <v>9</v>
      </c>
      <c r="AO235" s="5">
        <v>4</v>
      </c>
      <c r="AP235" s="5">
        <v>12</v>
      </c>
      <c r="AQ235" s="5">
        <v>11</v>
      </c>
      <c r="AR235" s="5">
        <v>8</v>
      </c>
      <c r="AS235" s="5">
        <v>6</v>
      </c>
      <c r="AT235" s="5">
        <v>3</v>
      </c>
      <c r="AU235" s="16"/>
      <c r="AV235" s="8">
        <f t="shared" si="211"/>
        <v>5.666666666666667</v>
      </c>
      <c r="AW235" s="8">
        <f t="shared" si="212"/>
        <v>8</v>
      </c>
      <c r="AX235" s="8">
        <f t="shared" si="213"/>
        <v>8.1</v>
      </c>
      <c r="AY235" s="8"/>
      <c r="AZ235" s="47">
        <f t="shared" si="214"/>
        <v>-0.62962962962962965</v>
      </c>
      <c r="BA235" s="15"/>
    </row>
    <row r="236" spans="2:53" ht="11.25" customHeight="1">
      <c r="B236" s="5"/>
      <c r="C236" s="5" t="s">
        <v>323</v>
      </c>
      <c r="D236" s="5" t="s">
        <v>62</v>
      </c>
      <c r="E236" s="5"/>
      <c r="F236" s="5"/>
      <c r="G236" s="5"/>
      <c r="H236" s="5"/>
      <c r="I236" s="46"/>
      <c r="J236" s="46"/>
      <c r="K236" s="46"/>
      <c r="L236" s="46"/>
      <c r="M236" s="46"/>
      <c r="N236" s="4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>
        <v>1</v>
      </c>
      <c r="AK236" s="5">
        <v>0</v>
      </c>
      <c r="AL236" s="5">
        <v>0</v>
      </c>
      <c r="AM236" s="5">
        <v>0</v>
      </c>
      <c r="AN236" s="5"/>
      <c r="AO236" s="5"/>
      <c r="AP236" s="5"/>
      <c r="AQ236" s="5"/>
      <c r="AR236" s="5"/>
      <c r="AS236" s="5"/>
      <c r="AT236" s="5"/>
      <c r="AU236" s="46"/>
      <c r="AV236" s="6" t="s">
        <v>125</v>
      </c>
      <c r="AW236" s="6" t="s">
        <v>125</v>
      </c>
      <c r="AX236" s="6" t="s">
        <v>125</v>
      </c>
      <c r="AY236" s="15"/>
      <c r="AZ236" s="15"/>
      <c r="BA236" s="15"/>
    </row>
    <row r="237" spans="2:53" ht="11.2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6"/>
      <c r="AW237" s="6"/>
      <c r="AX237" s="6"/>
      <c r="AY237" s="15"/>
      <c r="AZ237" s="15"/>
      <c r="BA237" s="15"/>
    </row>
    <row r="238" spans="2:53" ht="11.25" customHeight="1">
      <c r="B238" s="5" t="s">
        <v>58</v>
      </c>
      <c r="C238" s="5"/>
      <c r="D238" s="49" t="s">
        <v>2</v>
      </c>
      <c r="E238" s="5">
        <f t="shared" ref="E238:AS238" si="215">E231</f>
        <v>41</v>
      </c>
      <c r="F238" s="5">
        <f t="shared" si="215"/>
        <v>48</v>
      </c>
      <c r="G238" s="5">
        <f t="shared" si="215"/>
        <v>37</v>
      </c>
      <c r="H238" s="5">
        <f t="shared" si="215"/>
        <v>33</v>
      </c>
      <c r="I238" s="5">
        <f t="shared" si="215"/>
        <v>35</v>
      </c>
      <c r="J238" s="5">
        <f t="shared" si="215"/>
        <v>29</v>
      </c>
      <c r="K238" s="5">
        <f t="shared" si="215"/>
        <v>39</v>
      </c>
      <c r="L238" s="5">
        <f t="shared" si="215"/>
        <v>28</v>
      </c>
      <c r="M238" s="5">
        <f t="shared" si="215"/>
        <v>35</v>
      </c>
      <c r="N238" s="5">
        <f t="shared" si="215"/>
        <v>37</v>
      </c>
      <c r="O238" s="5">
        <f t="shared" si="215"/>
        <v>15</v>
      </c>
      <c r="P238" s="5">
        <f t="shared" si="215"/>
        <v>31</v>
      </c>
      <c r="Q238" s="5">
        <f t="shared" si="215"/>
        <v>38</v>
      </c>
      <c r="R238" s="5">
        <f t="shared" si="215"/>
        <v>40</v>
      </c>
      <c r="S238" s="5">
        <f t="shared" si="215"/>
        <v>41</v>
      </c>
      <c r="T238" s="5">
        <f t="shared" si="215"/>
        <v>37</v>
      </c>
      <c r="U238" s="5">
        <f t="shared" si="215"/>
        <v>50</v>
      </c>
      <c r="V238" s="5">
        <f t="shared" si="215"/>
        <v>73</v>
      </c>
      <c r="W238" s="5">
        <f t="shared" si="215"/>
        <v>57</v>
      </c>
      <c r="X238" s="5">
        <f t="shared" si="215"/>
        <v>50</v>
      </c>
      <c r="Y238" s="5">
        <f t="shared" si="215"/>
        <v>64</v>
      </c>
      <c r="Z238" s="5">
        <f t="shared" si="215"/>
        <v>78</v>
      </c>
      <c r="AA238" s="5">
        <f t="shared" si="215"/>
        <v>53</v>
      </c>
      <c r="AB238" s="5">
        <f t="shared" si="215"/>
        <v>62</v>
      </c>
      <c r="AC238" s="5">
        <f t="shared" si="215"/>
        <v>66</v>
      </c>
      <c r="AD238" s="5">
        <f t="shared" si="215"/>
        <v>36</v>
      </c>
      <c r="AE238" s="5">
        <f t="shared" si="215"/>
        <v>64</v>
      </c>
      <c r="AF238" s="5">
        <f t="shared" si="215"/>
        <v>46</v>
      </c>
      <c r="AG238" s="5">
        <f t="shared" si="215"/>
        <v>45</v>
      </c>
      <c r="AH238" s="5">
        <f t="shared" si="215"/>
        <v>54</v>
      </c>
      <c r="AI238" s="5">
        <f t="shared" si="215"/>
        <v>66</v>
      </c>
      <c r="AJ238" s="5">
        <f t="shared" si="215"/>
        <v>59</v>
      </c>
      <c r="AK238" s="5">
        <f t="shared" si="215"/>
        <v>62</v>
      </c>
      <c r="AL238" s="5">
        <f t="shared" si="215"/>
        <v>58</v>
      </c>
      <c r="AM238" s="5">
        <f t="shared" si="215"/>
        <v>67</v>
      </c>
      <c r="AN238" s="5">
        <f t="shared" si="215"/>
        <v>47</v>
      </c>
      <c r="AO238" s="5">
        <f t="shared" si="215"/>
        <v>72</v>
      </c>
      <c r="AP238" s="5">
        <f t="shared" si="215"/>
        <v>60</v>
      </c>
      <c r="AQ238" s="5">
        <f t="shared" si="215"/>
        <v>79</v>
      </c>
      <c r="AR238" s="5">
        <f t="shared" si="215"/>
        <v>76</v>
      </c>
      <c r="AS238" s="5">
        <f t="shared" si="215"/>
        <v>90</v>
      </c>
      <c r="AT238" s="5">
        <f>AT231</f>
        <v>81</v>
      </c>
      <c r="AU238" s="5"/>
      <c r="AV238" s="8">
        <f t="shared" ref="AV238:AV240" si="216">IF(SUM(AR238:AT238)&gt;=0,AVERAGE(AR238:AT238),"")</f>
        <v>82.333333333333329</v>
      </c>
      <c r="AW238" s="6" t="s">
        <v>125</v>
      </c>
      <c r="AX238" s="6" t="s">
        <v>125</v>
      </c>
      <c r="AY238" s="15"/>
      <c r="AZ238" s="15"/>
      <c r="BA238" s="15"/>
    </row>
    <row r="239" spans="2:53" ht="11.25" customHeight="1">
      <c r="B239" s="5"/>
      <c r="C239" s="5"/>
      <c r="D239" s="49" t="s">
        <v>121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f t="shared" ref="AI239:AS239" si="217">AI234+AI236</f>
        <v>1</v>
      </c>
      <c r="AJ239" s="5">
        <f t="shared" si="217"/>
        <v>8</v>
      </c>
      <c r="AK239" s="5">
        <f t="shared" si="217"/>
        <v>8</v>
      </c>
      <c r="AL239" s="5">
        <f t="shared" si="217"/>
        <v>3</v>
      </c>
      <c r="AM239" s="5">
        <f t="shared" si="217"/>
        <v>5</v>
      </c>
      <c r="AN239" s="5">
        <f t="shared" si="217"/>
        <v>10</v>
      </c>
      <c r="AO239" s="5">
        <f t="shared" si="217"/>
        <v>2</v>
      </c>
      <c r="AP239" s="5">
        <f t="shared" si="217"/>
        <v>2</v>
      </c>
      <c r="AQ239" s="5">
        <f t="shared" si="217"/>
        <v>4</v>
      </c>
      <c r="AR239" s="5">
        <f t="shared" si="217"/>
        <v>5</v>
      </c>
      <c r="AS239" s="5">
        <f t="shared" si="217"/>
        <v>3</v>
      </c>
      <c r="AT239" s="5">
        <f>AT234+AT236</f>
        <v>6</v>
      </c>
      <c r="AU239" s="5"/>
      <c r="AV239" s="8"/>
      <c r="AW239" s="6"/>
      <c r="AX239" s="6"/>
      <c r="AY239" s="15"/>
      <c r="AZ239" s="15"/>
      <c r="BA239" s="15"/>
    </row>
    <row r="240" spans="2:53" ht="11.25" customHeight="1">
      <c r="B240" s="5"/>
      <c r="C240" s="5"/>
      <c r="D240" s="49" t="s">
        <v>3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>
        <f t="shared" ref="AA240:AS240" si="218">AA232+AA235</f>
        <v>1</v>
      </c>
      <c r="AB240" s="5">
        <f t="shared" si="218"/>
        <v>14</v>
      </c>
      <c r="AC240" s="5">
        <f t="shared" si="218"/>
        <v>28</v>
      </c>
      <c r="AD240" s="5">
        <f t="shared" si="218"/>
        <v>26</v>
      </c>
      <c r="AE240" s="5">
        <f t="shared" si="218"/>
        <v>31</v>
      </c>
      <c r="AF240" s="5">
        <f t="shared" si="218"/>
        <v>43</v>
      </c>
      <c r="AG240" s="5">
        <f t="shared" si="218"/>
        <v>36</v>
      </c>
      <c r="AH240" s="5">
        <f t="shared" si="218"/>
        <v>33</v>
      </c>
      <c r="AI240" s="5">
        <f t="shared" si="218"/>
        <v>37</v>
      </c>
      <c r="AJ240" s="5">
        <f t="shared" si="218"/>
        <v>49</v>
      </c>
      <c r="AK240" s="5">
        <f t="shared" si="218"/>
        <v>39</v>
      </c>
      <c r="AL240" s="5">
        <f t="shared" si="218"/>
        <v>68</v>
      </c>
      <c r="AM240" s="5">
        <f t="shared" si="218"/>
        <v>43</v>
      </c>
      <c r="AN240" s="5">
        <f t="shared" si="218"/>
        <v>62</v>
      </c>
      <c r="AO240" s="5">
        <f t="shared" si="218"/>
        <v>62</v>
      </c>
      <c r="AP240" s="5">
        <f t="shared" si="218"/>
        <v>50</v>
      </c>
      <c r="AQ240" s="5">
        <f t="shared" si="218"/>
        <v>77</v>
      </c>
      <c r="AR240" s="5">
        <f t="shared" si="218"/>
        <v>62</v>
      </c>
      <c r="AS240" s="5">
        <f t="shared" si="218"/>
        <v>58</v>
      </c>
      <c r="AT240" s="5">
        <f>AT232+AT235</f>
        <v>74</v>
      </c>
      <c r="AU240" s="5"/>
      <c r="AV240" s="8">
        <f t="shared" si="216"/>
        <v>64.666666666666671</v>
      </c>
      <c r="AW240" s="6" t="s">
        <v>125</v>
      </c>
      <c r="AX240" s="6" t="s">
        <v>125</v>
      </c>
      <c r="AY240" s="15"/>
      <c r="AZ240" s="15"/>
      <c r="BA240" s="15"/>
    </row>
    <row r="241" spans="2:53" ht="11.2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6"/>
      <c r="AW241" s="6"/>
      <c r="AX241" s="6"/>
      <c r="AY241" s="15"/>
      <c r="AZ241" s="15"/>
      <c r="BA241" s="15"/>
    </row>
    <row r="242" spans="2:53" ht="11.25" customHeight="1">
      <c r="B242" s="5" t="s">
        <v>152</v>
      </c>
      <c r="C242" s="5"/>
      <c r="D242" s="5" t="s">
        <v>122</v>
      </c>
      <c r="E242" s="5">
        <f t="shared" ref="E242:AS242" si="219">SUM(E238:E240)</f>
        <v>41</v>
      </c>
      <c r="F242" s="5">
        <f t="shared" si="219"/>
        <v>48</v>
      </c>
      <c r="G242" s="5">
        <f t="shared" si="219"/>
        <v>37</v>
      </c>
      <c r="H242" s="5">
        <f t="shared" si="219"/>
        <v>33</v>
      </c>
      <c r="I242" s="5">
        <f t="shared" si="219"/>
        <v>35</v>
      </c>
      <c r="J242" s="5">
        <f t="shared" si="219"/>
        <v>29</v>
      </c>
      <c r="K242" s="5">
        <f t="shared" si="219"/>
        <v>39</v>
      </c>
      <c r="L242" s="5">
        <f t="shared" si="219"/>
        <v>28</v>
      </c>
      <c r="M242" s="5">
        <f t="shared" si="219"/>
        <v>35</v>
      </c>
      <c r="N242" s="5">
        <f t="shared" si="219"/>
        <v>37</v>
      </c>
      <c r="O242" s="5">
        <f t="shared" si="219"/>
        <v>15</v>
      </c>
      <c r="P242" s="5">
        <f t="shared" si="219"/>
        <v>31</v>
      </c>
      <c r="Q242" s="5">
        <f t="shared" si="219"/>
        <v>38</v>
      </c>
      <c r="R242" s="5">
        <f t="shared" si="219"/>
        <v>40</v>
      </c>
      <c r="S242" s="5">
        <f t="shared" si="219"/>
        <v>41</v>
      </c>
      <c r="T242" s="5">
        <f t="shared" si="219"/>
        <v>37</v>
      </c>
      <c r="U242" s="5">
        <f t="shared" si="219"/>
        <v>50</v>
      </c>
      <c r="V242" s="5">
        <f t="shared" si="219"/>
        <v>73</v>
      </c>
      <c r="W242" s="5">
        <f t="shared" si="219"/>
        <v>57</v>
      </c>
      <c r="X242" s="5">
        <f t="shared" si="219"/>
        <v>50</v>
      </c>
      <c r="Y242" s="5">
        <f t="shared" si="219"/>
        <v>64</v>
      </c>
      <c r="Z242" s="5">
        <f t="shared" si="219"/>
        <v>78</v>
      </c>
      <c r="AA242" s="5">
        <f t="shared" si="219"/>
        <v>54</v>
      </c>
      <c r="AB242" s="5">
        <f t="shared" si="219"/>
        <v>76</v>
      </c>
      <c r="AC242" s="5">
        <f t="shared" si="219"/>
        <v>94</v>
      </c>
      <c r="AD242" s="5">
        <f t="shared" si="219"/>
        <v>62</v>
      </c>
      <c r="AE242" s="5">
        <f t="shared" si="219"/>
        <v>95</v>
      </c>
      <c r="AF242" s="5">
        <f t="shared" si="219"/>
        <v>89</v>
      </c>
      <c r="AG242" s="5">
        <f t="shared" si="219"/>
        <v>81</v>
      </c>
      <c r="AH242" s="5">
        <f t="shared" si="219"/>
        <v>87</v>
      </c>
      <c r="AI242" s="5">
        <f t="shared" si="219"/>
        <v>104</v>
      </c>
      <c r="AJ242" s="5">
        <f t="shared" si="219"/>
        <v>116</v>
      </c>
      <c r="AK242" s="5">
        <f t="shared" si="219"/>
        <v>109</v>
      </c>
      <c r="AL242" s="5">
        <f t="shared" si="219"/>
        <v>129</v>
      </c>
      <c r="AM242" s="5">
        <f t="shared" si="219"/>
        <v>115</v>
      </c>
      <c r="AN242" s="5">
        <f t="shared" si="219"/>
        <v>119</v>
      </c>
      <c r="AO242" s="5">
        <f t="shared" si="219"/>
        <v>136</v>
      </c>
      <c r="AP242" s="5">
        <f t="shared" si="219"/>
        <v>112</v>
      </c>
      <c r="AQ242" s="5">
        <f t="shared" si="219"/>
        <v>160</v>
      </c>
      <c r="AR242" s="5">
        <f t="shared" si="219"/>
        <v>143</v>
      </c>
      <c r="AS242" s="5">
        <f t="shared" si="219"/>
        <v>151</v>
      </c>
      <c r="AT242" s="5">
        <f>SUM(AT238:AT240)</f>
        <v>161</v>
      </c>
      <c r="AU242" s="5"/>
      <c r="AV242" s="8">
        <f t="shared" ref="AV242" si="220">IF(SUM(AR242:AT242)&gt;=0,AVERAGE(AR242:AT242),"")</f>
        <v>151.66666666666666</v>
      </c>
      <c r="AW242" s="6" t="s">
        <v>125</v>
      </c>
      <c r="AX242" s="6" t="s">
        <v>125</v>
      </c>
      <c r="AY242" s="15"/>
      <c r="AZ242" s="15"/>
      <c r="BA242" s="15"/>
    </row>
    <row r="243" spans="2:53" ht="11.2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10"/>
      <c r="AW243" s="10"/>
      <c r="AX243" s="10"/>
      <c r="AY243" s="15"/>
      <c r="AZ243" s="15"/>
      <c r="BA243" s="15"/>
    </row>
    <row r="244" spans="2:53" ht="11.2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10"/>
      <c r="AW244" s="10"/>
      <c r="AX244" s="10"/>
      <c r="AY244" s="15"/>
      <c r="AZ244" s="15"/>
      <c r="BA244" s="15"/>
    </row>
    <row r="245" spans="2:53" ht="22.5" customHeight="1">
      <c r="B245" s="20" t="s">
        <v>178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</row>
    <row r="246" spans="2:53" ht="11.25" customHeight="1">
      <c r="B246" s="1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0" t="str">
        <f>IF(AB246&gt;0,IF(AB246&gt;9,(AB246-AA246)/AA246,"&lt;10 cases"),"")</f>
        <v/>
      </c>
      <c r="AW246" s="10" t="str">
        <f>IF(AB246&gt;0,IF(AB246&gt;9,(AB246-(SUM(W246:AA246)/5))/(SUM(W246:AA246)/5), "&lt;10 cases"), "")</f>
        <v/>
      </c>
      <c r="AX246" s="10" t="str">
        <f>IF(AB246&gt;0,IF(AB246&gt;9,(AB246-(SUM(R246:AA246)/10))/(SUM(R246:AA246)/10),"&lt; 10 cases"),"")</f>
        <v/>
      </c>
      <c r="AY246" s="15"/>
      <c r="AZ246" s="15"/>
      <c r="BA246" s="15"/>
    </row>
    <row r="247" spans="2:53" ht="11.25" customHeight="1">
      <c r="B247" s="5" t="s">
        <v>111</v>
      </c>
      <c r="C247" s="5" t="s">
        <v>43</v>
      </c>
      <c r="D247" s="5" t="s">
        <v>138</v>
      </c>
      <c r="E247" s="5"/>
      <c r="F247" s="5"/>
      <c r="G247" s="5"/>
      <c r="H247" s="5"/>
      <c r="I247" s="46" t="s">
        <v>124</v>
      </c>
      <c r="J247" s="46" t="s">
        <v>124</v>
      </c>
      <c r="K247" s="46" t="s">
        <v>124</v>
      </c>
      <c r="L247" s="46" t="s">
        <v>124</v>
      </c>
      <c r="M247" s="46" t="s">
        <v>124</v>
      </c>
      <c r="N247" s="46" t="s">
        <v>124</v>
      </c>
      <c r="O247" s="46" t="s">
        <v>124</v>
      </c>
      <c r="P247" s="46" t="s">
        <v>124</v>
      </c>
      <c r="Q247" s="46" t="s">
        <v>124</v>
      </c>
      <c r="R247" s="46" t="s">
        <v>124</v>
      </c>
      <c r="S247" s="46" t="s">
        <v>124</v>
      </c>
      <c r="T247" s="46" t="s">
        <v>124</v>
      </c>
      <c r="U247" s="46" t="s">
        <v>124</v>
      </c>
      <c r="V247" s="5">
        <v>0</v>
      </c>
      <c r="W247" s="5">
        <v>0</v>
      </c>
      <c r="X247" s="5">
        <v>0</v>
      </c>
      <c r="Y247" s="5">
        <v>2</v>
      </c>
      <c r="Z247" s="5">
        <v>6</v>
      </c>
      <c r="AA247" s="5">
        <v>5</v>
      </c>
      <c r="AB247" s="5">
        <v>12</v>
      </c>
      <c r="AC247" s="5">
        <v>2</v>
      </c>
      <c r="AD247" s="5">
        <v>9</v>
      </c>
      <c r="AE247" s="5">
        <v>8</v>
      </c>
      <c r="AF247" s="5">
        <v>12</v>
      </c>
      <c r="AG247" s="5">
        <v>5</v>
      </c>
      <c r="AH247" s="5">
        <v>10</v>
      </c>
      <c r="AI247" s="5">
        <v>17</v>
      </c>
      <c r="AJ247" s="5">
        <v>10</v>
      </c>
      <c r="AK247" s="5">
        <v>12</v>
      </c>
      <c r="AL247" s="5">
        <v>11</v>
      </c>
      <c r="AM247" s="5">
        <v>18</v>
      </c>
      <c r="AN247" s="5">
        <v>17</v>
      </c>
      <c r="AO247" s="5">
        <v>12</v>
      </c>
      <c r="AP247" s="5">
        <v>25</v>
      </c>
      <c r="AQ247" s="5">
        <v>15</v>
      </c>
      <c r="AR247" s="5">
        <v>18</v>
      </c>
      <c r="AS247" s="5">
        <v>13</v>
      </c>
      <c r="AT247" s="5">
        <v>13</v>
      </c>
      <c r="AU247" s="5"/>
      <c r="AV247" s="8">
        <f t="shared" ref="AV247:AV249" si="221">IF(SUM(AR247:AT247)&gt;=0,AVERAGE(AR247:AT247),"")</f>
        <v>14.666666666666666</v>
      </c>
      <c r="AW247" s="8">
        <f t="shared" ref="AW247:AW249" si="222">IF(SUM(AP247:AT247)&gt;=0,AVERAGE(AP247:AT247),"")</f>
        <v>16.8</v>
      </c>
      <c r="AX247" s="8">
        <f t="shared" ref="AX247:AX249" si="223">IF(SUM(AK247:AT247)&gt;=0,AVERAGE(AK247:AT247),"")</f>
        <v>15.4</v>
      </c>
      <c r="AY247" s="8"/>
      <c r="AZ247" s="47">
        <f t="shared" ref="AZ247:AZ249" si="224">(AT247-AX247)/AX247</f>
        <v>-0.15584415584415587</v>
      </c>
      <c r="BA247" s="15"/>
    </row>
    <row r="248" spans="2:53" ht="11.25" customHeight="1">
      <c r="B248" s="5"/>
      <c r="C248" s="5" t="s">
        <v>44</v>
      </c>
      <c r="D248" s="5" t="s">
        <v>136</v>
      </c>
      <c r="E248" s="5"/>
      <c r="F248" s="5"/>
      <c r="G248" s="5"/>
      <c r="H248" s="5"/>
      <c r="I248" s="46" t="s">
        <v>124</v>
      </c>
      <c r="J248" s="46" t="s">
        <v>124</v>
      </c>
      <c r="K248" s="46" t="s">
        <v>124</v>
      </c>
      <c r="L248" s="46" t="s">
        <v>124</v>
      </c>
      <c r="M248" s="46" t="s">
        <v>124</v>
      </c>
      <c r="N248" s="46" t="s">
        <v>124</v>
      </c>
      <c r="O248" s="46" t="s">
        <v>124</v>
      </c>
      <c r="P248" s="46" t="s">
        <v>124</v>
      </c>
      <c r="Q248" s="46" t="s">
        <v>124</v>
      </c>
      <c r="R248" s="46" t="s">
        <v>124</v>
      </c>
      <c r="S248" s="46" t="s">
        <v>124</v>
      </c>
      <c r="T248" s="46" t="s">
        <v>124</v>
      </c>
      <c r="U248" s="5">
        <v>0</v>
      </c>
      <c r="V248" s="5">
        <v>1</v>
      </c>
      <c r="W248" s="5">
        <v>2</v>
      </c>
      <c r="X248" s="5">
        <v>3</v>
      </c>
      <c r="Y248" s="5">
        <v>11</v>
      </c>
      <c r="Z248" s="5">
        <f>5+1</f>
        <v>6</v>
      </c>
      <c r="AA248" s="5">
        <v>7</v>
      </c>
      <c r="AB248" s="5">
        <v>13</v>
      </c>
      <c r="AC248" s="5">
        <v>17</v>
      </c>
      <c r="AD248" s="5">
        <v>7</v>
      </c>
      <c r="AE248" s="5">
        <v>21</v>
      </c>
      <c r="AF248" s="5">
        <v>21</v>
      </c>
      <c r="AG248" s="5">
        <v>23</v>
      </c>
      <c r="AH248" s="5">
        <v>20</v>
      </c>
      <c r="AI248" s="5">
        <v>18</v>
      </c>
      <c r="AJ248" s="5">
        <v>30</v>
      </c>
      <c r="AK248" s="5">
        <v>23</v>
      </c>
      <c r="AL248" s="5">
        <v>29</v>
      </c>
      <c r="AM248" s="5">
        <v>20</v>
      </c>
      <c r="AN248" s="5">
        <v>17</v>
      </c>
      <c r="AO248" s="5">
        <v>23</v>
      </c>
      <c r="AP248" s="5">
        <v>36</v>
      </c>
      <c r="AQ248" s="5">
        <v>40</v>
      </c>
      <c r="AR248" s="5">
        <v>37</v>
      </c>
      <c r="AS248" s="5">
        <v>21</v>
      </c>
      <c r="AT248" s="5">
        <v>19</v>
      </c>
      <c r="AU248" s="5"/>
      <c r="AV248" s="8">
        <f t="shared" si="221"/>
        <v>25.666666666666668</v>
      </c>
      <c r="AW248" s="8">
        <f t="shared" si="222"/>
        <v>30.6</v>
      </c>
      <c r="AX248" s="8">
        <f t="shared" si="223"/>
        <v>26.5</v>
      </c>
      <c r="AY248" s="8"/>
      <c r="AZ248" s="47">
        <f t="shared" si="224"/>
        <v>-0.28301886792452829</v>
      </c>
      <c r="BA248" s="15"/>
    </row>
    <row r="249" spans="2:53" ht="11.25" customHeight="1">
      <c r="B249" s="5"/>
      <c r="C249" s="5" t="s">
        <v>45</v>
      </c>
      <c r="D249" s="5" t="s">
        <v>137</v>
      </c>
      <c r="E249" s="5"/>
      <c r="F249" s="5"/>
      <c r="G249" s="5"/>
      <c r="H249" s="5"/>
      <c r="I249" s="46" t="s">
        <v>124</v>
      </c>
      <c r="J249" s="46" t="s">
        <v>124</v>
      </c>
      <c r="K249" s="46" t="s">
        <v>124</v>
      </c>
      <c r="L249" s="46" t="s">
        <v>124</v>
      </c>
      <c r="M249" s="46" t="s">
        <v>124</v>
      </c>
      <c r="N249" s="46" t="s">
        <v>124</v>
      </c>
      <c r="O249" s="46" t="s">
        <v>124</v>
      </c>
      <c r="P249" s="46" t="s">
        <v>124</v>
      </c>
      <c r="Q249" s="46" t="s">
        <v>124</v>
      </c>
      <c r="R249" s="46" t="s">
        <v>124</v>
      </c>
      <c r="S249" s="46" t="s">
        <v>124</v>
      </c>
      <c r="T249" s="46" t="s">
        <v>124</v>
      </c>
      <c r="U249" s="5">
        <v>0</v>
      </c>
      <c r="V249" s="5">
        <v>0</v>
      </c>
      <c r="W249" s="5">
        <v>0</v>
      </c>
      <c r="X249" s="5">
        <v>3</v>
      </c>
      <c r="Y249" s="5">
        <v>1</v>
      </c>
      <c r="Z249" s="5">
        <v>5</v>
      </c>
      <c r="AA249" s="5">
        <v>5</v>
      </c>
      <c r="AB249" s="5">
        <v>8</v>
      </c>
      <c r="AC249" s="5">
        <v>10</v>
      </c>
      <c r="AD249" s="5">
        <v>10</v>
      </c>
      <c r="AE249" s="5">
        <v>13</v>
      </c>
      <c r="AF249" s="5">
        <v>9</v>
      </c>
      <c r="AG249" s="5">
        <v>5</v>
      </c>
      <c r="AH249" s="5">
        <v>18</v>
      </c>
      <c r="AI249" s="5">
        <v>11</v>
      </c>
      <c r="AJ249" s="5">
        <v>12</v>
      </c>
      <c r="AK249" s="5">
        <v>21</v>
      </c>
      <c r="AL249" s="5">
        <v>18</v>
      </c>
      <c r="AM249" s="5">
        <v>20</v>
      </c>
      <c r="AN249" s="5">
        <v>24</v>
      </c>
      <c r="AO249" s="5">
        <v>16</v>
      </c>
      <c r="AP249" s="5">
        <v>27</v>
      </c>
      <c r="AQ249" s="5">
        <v>42</v>
      </c>
      <c r="AR249" s="5">
        <v>28</v>
      </c>
      <c r="AS249" s="5">
        <v>25</v>
      </c>
      <c r="AT249" s="5">
        <v>22</v>
      </c>
      <c r="AU249" s="5"/>
      <c r="AV249" s="8">
        <f t="shared" si="221"/>
        <v>25</v>
      </c>
      <c r="AW249" s="8">
        <f t="shared" si="222"/>
        <v>28.8</v>
      </c>
      <c r="AX249" s="8">
        <f t="shared" si="223"/>
        <v>24.3</v>
      </c>
      <c r="AY249" s="8"/>
      <c r="AZ249" s="47">
        <f t="shared" si="224"/>
        <v>-9.46502057613169E-2</v>
      </c>
      <c r="BA249" s="15"/>
    </row>
    <row r="250" spans="2:53" ht="11.2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0"/>
      <c r="AW250" s="10"/>
      <c r="AX250" s="10"/>
      <c r="AY250" s="15"/>
      <c r="AZ250" s="15"/>
      <c r="BA250" s="15"/>
    </row>
    <row r="251" spans="2:53" ht="11.25" customHeight="1">
      <c r="B251" s="5" t="s">
        <v>179</v>
      </c>
      <c r="C251" s="5"/>
      <c r="D251" s="49" t="s">
        <v>2</v>
      </c>
      <c r="E251" s="5"/>
      <c r="F251" s="5"/>
      <c r="G251" s="5"/>
      <c r="H251" s="5"/>
      <c r="I251" s="46" t="s">
        <v>124</v>
      </c>
      <c r="J251" s="46" t="s">
        <v>124</v>
      </c>
      <c r="K251" s="46" t="s">
        <v>124</v>
      </c>
      <c r="L251" s="46" t="s">
        <v>124</v>
      </c>
      <c r="M251" s="46" t="s">
        <v>124</v>
      </c>
      <c r="N251" s="46" t="s">
        <v>124</v>
      </c>
      <c r="O251" s="46" t="s">
        <v>124</v>
      </c>
      <c r="P251" s="46" t="s">
        <v>124</v>
      </c>
      <c r="Q251" s="46" t="s">
        <v>124</v>
      </c>
      <c r="R251" s="46" t="s">
        <v>124</v>
      </c>
      <c r="S251" s="46" t="s">
        <v>124</v>
      </c>
      <c r="T251" s="46" t="s">
        <v>124</v>
      </c>
      <c r="U251" s="50">
        <f t="shared" ref="U251:AD251" si="225">U247+U248+U249</f>
        <v>0</v>
      </c>
      <c r="V251" s="50">
        <f t="shared" si="225"/>
        <v>1</v>
      </c>
      <c r="W251" s="50">
        <f t="shared" si="225"/>
        <v>2</v>
      </c>
      <c r="X251" s="50">
        <f t="shared" si="225"/>
        <v>6</v>
      </c>
      <c r="Y251" s="50">
        <f t="shared" si="225"/>
        <v>14</v>
      </c>
      <c r="Z251" s="50">
        <f t="shared" si="225"/>
        <v>17</v>
      </c>
      <c r="AA251" s="50">
        <f t="shared" si="225"/>
        <v>17</v>
      </c>
      <c r="AB251" s="50">
        <f t="shared" si="225"/>
        <v>33</v>
      </c>
      <c r="AC251" s="50">
        <f t="shared" si="225"/>
        <v>29</v>
      </c>
      <c r="AD251" s="50">
        <f t="shared" si="225"/>
        <v>26</v>
      </c>
      <c r="AE251" s="50">
        <f t="shared" ref="AE251:AK251" si="226">AE247+AE248+AE249</f>
        <v>42</v>
      </c>
      <c r="AF251" s="50">
        <f t="shared" si="226"/>
        <v>42</v>
      </c>
      <c r="AG251" s="50">
        <f t="shared" si="226"/>
        <v>33</v>
      </c>
      <c r="AH251" s="50">
        <f t="shared" si="226"/>
        <v>48</v>
      </c>
      <c r="AI251" s="50">
        <f t="shared" si="226"/>
        <v>46</v>
      </c>
      <c r="AJ251" s="50">
        <f t="shared" si="226"/>
        <v>52</v>
      </c>
      <c r="AK251" s="50">
        <f t="shared" si="226"/>
        <v>56</v>
      </c>
      <c r="AL251" s="50">
        <f t="shared" ref="AL251:AQ251" si="227">AL247+AL248+AL249</f>
        <v>58</v>
      </c>
      <c r="AM251" s="50">
        <f t="shared" si="227"/>
        <v>58</v>
      </c>
      <c r="AN251" s="50">
        <f t="shared" si="227"/>
        <v>58</v>
      </c>
      <c r="AO251" s="50">
        <f t="shared" si="227"/>
        <v>51</v>
      </c>
      <c r="AP251" s="50">
        <f t="shared" si="227"/>
        <v>88</v>
      </c>
      <c r="AQ251" s="50">
        <f t="shared" si="227"/>
        <v>97</v>
      </c>
      <c r="AR251" s="50">
        <f t="shared" ref="AR251:AS251" si="228">AR247+AR248+AR249</f>
        <v>83</v>
      </c>
      <c r="AS251" s="50">
        <f t="shared" si="228"/>
        <v>59</v>
      </c>
      <c r="AT251" s="50">
        <f t="shared" ref="AT251" si="229">AT247+AT248+AT249</f>
        <v>54</v>
      </c>
      <c r="AU251" s="50"/>
      <c r="AV251" s="8">
        <f t="shared" ref="AV251" si="230">IF(SUM(AR251:AT251)&gt;=0,AVERAGE(AR251:AT251),"")</f>
        <v>65.333333333333329</v>
      </c>
      <c r="AW251" s="8">
        <f>IF(SUM(AP251:AT251)&gt;=0,AVERAGE(AP251:AT251),"")</f>
        <v>76.2</v>
      </c>
      <c r="AX251" s="8">
        <f t="shared" ref="AX251" si="231">IF(SUM(AK251:AT251)&gt;=0,AVERAGE(AK251:AT251),"")</f>
        <v>66.2</v>
      </c>
      <c r="AY251" s="8"/>
      <c r="AZ251" s="47">
        <f t="shared" ref="AZ251" si="232">(AT251-AX251)/AX251</f>
        <v>-0.18429003021148041</v>
      </c>
      <c r="BA251" s="15"/>
    </row>
    <row r="252" spans="2:53" ht="11.2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0"/>
      <c r="AW252" s="10"/>
      <c r="AX252" s="10"/>
      <c r="AY252" s="15"/>
      <c r="AZ252" s="15"/>
      <c r="BA252" s="15"/>
    </row>
    <row r="253" spans="2:53" ht="11.2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0"/>
      <c r="AW253" s="10"/>
      <c r="AX253" s="10"/>
      <c r="AY253" s="15"/>
      <c r="AZ253" s="15"/>
      <c r="BA253" s="15"/>
    </row>
    <row r="254" spans="2:53" ht="11.25" hidden="1" customHeight="1">
      <c r="B254" s="54" t="s">
        <v>181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5"/>
      <c r="AY254" s="55"/>
      <c r="AZ254" s="55"/>
      <c r="BA254" s="55"/>
    </row>
    <row r="255" spans="2:53" ht="11.25" hidden="1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0"/>
      <c r="AW255" s="10"/>
      <c r="AX255" s="10"/>
      <c r="AY255" s="15"/>
      <c r="AZ255" s="15"/>
      <c r="BA255" s="15"/>
    </row>
    <row r="256" spans="2:53" ht="11.25" hidden="1" customHeight="1">
      <c r="B256" s="5" t="s">
        <v>232</v>
      </c>
      <c r="C256" s="5" t="s">
        <v>262</v>
      </c>
      <c r="D256" s="5" t="s">
        <v>263</v>
      </c>
      <c r="E256" s="5">
        <v>30</v>
      </c>
      <c r="F256" s="5">
        <v>24</v>
      </c>
      <c r="G256" s="5">
        <v>36</v>
      </c>
      <c r="H256" s="5">
        <v>35</v>
      </c>
      <c r="I256" s="5">
        <v>64</v>
      </c>
      <c r="J256" s="5">
        <v>62</v>
      </c>
      <c r="K256" s="5">
        <v>43</v>
      </c>
      <c r="L256" s="5">
        <v>54</v>
      </c>
      <c r="M256" s="5">
        <v>61</v>
      </c>
      <c r="N256" s="5">
        <v>51</v>
      </c>
      <c r="O256" s="5">
        <v>39</v>
      </c>
      <c r="P256" s="5">
        <v>51</v>
      </c>
      <c r="Q256" s="5">
        <v>35</v>
      </c>
      <c r="R256" s="5">
        <v>65</v>
      </c>
      <c r="S256" s="5">
        <v>66</v>
      </c>
      <c r="T256" s="5">
        <v>77</v>
      </c>
      <c r="U256" s="5">
        <v>73</v>
      </c>
      <c r="V256" s="5">
        <v>79</v>
      </c>
      <c r="W256" s="5">
        <v>74</v>
      </c>
      <c r="X256" s="5">
        <v>88</v>
      </c>
      <c r="Y256" s="5">
        <v>95</v>
      </c>
      <c r="Z256" s="5">
        <v>77</v>
      </c>
      <c r="AA256" s="5">
        <v>80</v>
      </c>
      <c r="AB256" s="5">
        <v>82</v>
      </c>
      <c r="AC256" s="5">
        <v>69</v>
      </c>
      <c r="AD256" s="5">
        <v>38</v>
      </c>
      <c r="AE256" s="5">
        <v>48</v>
      </c>
      <c r="AF256" s="5">
        <v>41</v>
      </c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6" t="s">
        <v>125</v>
      </c>
      <c r="AW256" s="6" t="s">
        <v>125</v>
      </c>
      <c r="AX256" s="6" t="s">
        <v>125</v>
      </c>
      <c r="AY256" s="15"/>
      <c r="AZ256" s="15"/>
      <c r="BA256" s="15"/>
    </row>
    <row r="257" spans="2:53" ht="11.25" hidden="1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0"/>
      <c r="AW257" s="10"/>
      <c r="AX257" s="10"/>
      <c r="AY257" s="15"/>
      <c r="AZ257" s="15"/>
      <c r="BA257" s="15"/>
    </row>
    <row r="258" spans="2:53" ht="11.25" hidden="1" customHeight="1">
      <c r="B258" s="5" t="s">
        <v>182</v>
      </c>
      <c r="C258" s="5"/>
      <c r="D258" s="49" t="s">
        <v>2</v>
      </c>
      <c r="E258" s="5">
        <f>E256</f>
        <v>30</v>
      </c>
      <c r="F258" s="5">
        <f t="shared" ref="F258:AF258" si="233">F256</f>
        <v>24</v>
      </c>
      <c r="G258" s="5">
        <f t="shared" si="233"/>
        <v>36</v>
      </c>
      <c r="H258" s="5">
        <f t="shared" si="233"/>
        <v>35</v>
      </c>
      <c r="I258" s="5">
        <f t="shared" si="233"/>
        <v>64</v>
      </c>
      <c r="J258" s="5">
        <f t="shared" si="233"/>
        <v>62</v>
      </c>
      <c r="K258" s="5">
        <f t="shared" si="233"/>
        <v>43</v>
      </c>
      <c r="L258" s="5">
        <f t="shared" si="233"/>
        <v>54</v>
      </c>
      <c r="M258" s="5">
        <f t="shared" si="233"/>
        <v>61</v>
      </c>
      <c r="N258" s="5">
        <f t="shared" si="233"/>
        <v>51</v>
      </c>
      <c r="O258" s="5">
        <f t="shared" si="233"/>
        <v>39</v>
      </c>
      <c r="P258" s="5">
        <f t="shared" si="233"/>
        <v>51</v>
      </c>
      <c r="Q258" s="5">
        <f t="shared" si="233"/>
        <v>35</v>
      </c>
      <c r="R258" s="5">
        <f t="shared" si="233"/>
        <v>65</v>
      </c>
      <c r="S258" s="5">
        <f t="shared" si="233"/>
        <v>66</v>
      </c>
      <c r="T258" s="5">
        <f t="shared" si="233"/>
        <v>77</v>
      </c>
      <c r="U258" s="5">
        <f t="shared" si="233"/>
        <v>73</v>
      </c>
      <c r="V258" s="5">
        <f t="shared" si="233"/>
        <v>79</v>
      </c>
      <c r="W258" s="5">
        <f t="shared" si="233"/>
        <v>74</v>
      </c>
      <c r="X258" s="5">
        <f t="shared" si="233"/>
        <v>88</v>
      </c>
      <c r="Y258" s="5">
        <f t="shared" si="233"/>
        <v>95</v>
      </c>
      <c r="Z258" s="5">
        <f t="shared" si="233"/>
        <v>77</v>
      </c>
      <c r="AA258" s="5">
        <f t="shared" si="233"/>
        <v>80</v>
      </c>
      <c r="AB258" s="5">
        <f t="shared" si="233"/>
        <v>82</v>
      </c>
      <c r="AC258" s="5">
        <f t="shared" si="233"/>
        <v>69</v>
      </c>
      <c r="AD258" s="5">
        <f t="shared" si="233"/>
        <v>38</v>
      </c>
      <c r="AE258" s="5">
        <f t="shared" si="233"/>
        <v>48</v>
      </c>
      <c r="AF258" s="5">
        <f t="shared" si="233"/>
        <v>41</v>
      </c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6" t="s">
        <v>125</v>
      </c>
      <c r="AW258" s="6" t="s">
        <v>125</v>
      </c>
      <c r="AX258" s="6" t="s">
        <v>125</v>
      </c>
      <c r="AY258" s="15"/>
      <c r="AZ258" s="15"/>
      <c r="BA258" s="15"/>
    </row>
    <row r="259" spans="2:53" ht="11.25" hidden="1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0"/>
      <c r="AW259" s="10"/>
      <c r="AX259" s="10"/>
      <c r="AY259" s="15"/>
      <c r="AZ259" s="15"/>
      <c r="BA259" s="15"/>
    </row>
    <row r="260" spans="2:53" ht="11.25" hidden="1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0"/>
      <c r="AW260" s="10"/>
      <c r="AX260" s="10"/>
      <c r="AY260" s="15"/>
      <c r="AZ260" s="15"/>
      <c r="BA260" s="15"/>
    </row>
    <row r="261" spans="2:53" ht="22.5" customHeight="1">
      <c r="B261" s="20" t="s">
        <v>52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41"/>
      <c r="AZ261" s="41"/>
      <c r="BA261" s="41"/>
    </row>
    <row r="262" spans="2:53" ht="11.25" customHeight="1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5"/>
      <c r="AZ262" s="15"/>
      <c r="BA262" s="15"/>
    </row>
    <row r="263" spans="2:53" ht="11.25" customHeight="1">
      <c r="B263" s="5" t="s">
        <v>82</v>
      </c>
      <c r="C263" s="5" t="s">
        <v>212</v>
      </c>
      <c r="D263" s="5" t="s">
        <v>134</v>
      </c>
      <c r="E263" s="5"/>
      <c r="F263" s="5"/>
      <c r="G263" s="5"/>
      <c r="H263" s="5"/>
      <c r="I263" s="46" t="s">
        <v>124</v>
      </c>
      <c r="J263" s="46" t="s">
        <v>124</v>
      </c>
      <c r="K263" s="46" t="s">
        <v>124</v>
      </c>
      <c r="L263" s="46" t="s">
        <v>124</v>
      </c>
      <c r="M263" s="46" t="s">
        <v>124</v>
      </c>
      <c r="N263" s="46" t="s">
        <v>124</v>
      </c>
      <c r="O263" s="46" t="s">
        <v>124</v>
      </c>
      <c r="P263" s="46" t="s">
        <v>124</v>
      </c>
      <c r="Q263" s="46" t="s">
        <v>124</v>
      </c>
      <c r="R263" s="46" t="s">
        <v>124</v>
      </c>
      <c r="S263" s="46" t="s">
        <v>124</v>
      </c>
      <c r="T263" s="46" t="s">
        <v>124</v>
      </c>
      <c r="U263" s="46" t="s">
        <v>124</v>
      </c>
      <c r="V263" s="46" t="s">
        <v>124</v>
      </c>
      <c r="W263" s="5">
        <v>0</v>
      </c>
      <c r="X263" s="5">
        <v>2</v>
      </c>
      <c r="Y263" s="5">
        <v>0</v>
      </c>
      <c r="Z263" s="5">
        <v>1</v>
      </c>
      <c r="AA263" s="5">
        <v>6</v>
      </c>
      <c r="AB263" s="5">
        <v>5</v>
      </c>
      <c r="AC263" s="5">
        <v>3</v>
      </c>
      <c r="AD263" s="5">
        <v>1</v>
      </c>
      <c r="AE263" s="5">
        <v>1</v>
      </c>
      <c r="AF263" s="5">
        <v>0</v>
      </c>
      <c r="AG263" s="5">
        <v>0</v>
      </c>
      <c r="AH263" s="5">
        <v>2</v>
      </c>
      <c r="AI263" s="5">
        <v>2</v>
      </c>
      <c r="AJ263" s="5">
        <v>1</v>
      </c>
      <c r="AK263" s="5">
        <v>3</v>
      </c>
      <c r="AL263" s="5">
        <v>1</v>
      </c>
      <c r="AM263" s="5">
        <v>1</v>
      </c>
      <c r="AN263" s="5">
        <v>4</v>
      </c>
      <c r="AO263" s="5">
        <v>4</v>
      </c>
      <c r="AP263" s="5">
        <v>2</v>
      </c>
      <c r="AQ263" s="5">
        <v>4</v>
      </c>
      <c r="AR263" s="5">
        <v>2</v>
      </c>
      <c r="AS263" s="5">
        <v>3</v>
      </c>
      <c r="AT263" s="5">
        <v>2</v>
      </c>
      <c r="AU263" s="5"/>
      <c r="AV263" s="8">
        <f t="shared" ref="AV263:AV264" si="234">IF(SUM(AR263:AT263)&gt;=0,AVERAGE(AR263:AT263),"")</f>
        <v>2.3333333333333335</v>
      </c>
      <c r="AW263" s="8">
        <f t="shared" ref="AW263:AW264" si="235">IF(SUM(AP263:AT263)&gt;=0,AVERAGE(AP263:AT263),"")</f>
        <v>2.6</v>
      </c>
      <c r="AX263" s="8">
        <f t="shared" ref="AX263:AX264" si="236">IF(SUM(AK263:AT263)&gt;=0,AVERAGE(AK263:AT263),"")</f>
        <v>2.6</v>
      </c>
      <c r="AY263" s="8"/>
      <c r="AZ263" s="47">
        <f t="shared" ref="AZ263:AZ264" si="237">(AT263-AX263)/AX263</f>
        <v>-0.23076923076923078</v>
      </c>
      <c r="BA263" s="15"/>
    </row>
    <row r="264" spans="2:53" ht="11.25" customHeight="1">
      <c r="B264" s="15"/>
      <c r="C264" s="5" t="s">
        <v>84</v>
      </c>
      <c r="D264" s="5" t="s">
        <v>134</v>
      </c>
      <c r="E264" s="5"/>
      <c r="F264" s="5"/>
      <c r="G264" s="5"/>
      <c r="H264" s="5"/>
      <c r="I264" s="46" t="s">
        <v>124</v>
      </c>
      <c r="J264" s="46" t="s">
        <v>124</v>
      </c>
      <c r="K264" s="46" t="s">
        <v>124</v>
      </c>
      <c r="L264" s="46" t="s">
        <v>124</v>
      </c>
      <c r="M264" s="46" t="s">
        <v>124</v>
      </c>
      <c r="N264" s="46" t="s">
        <v>124</v>
      </c>
      <c r="O264" s="46" t="s">
        <v>124</v>
      </c>
      <c r="P264" s="46" t="s">
        <v>124</v>
      </c>
      <c r="Q264" s="46" t="s">
        <v>124</v>
      </c>
      <c r="R264" s="46" t="s">
        <v>124</v>
      </c>
      <c r="S264" s="46" t="s">
        <v>124</v>
      </c>
      <c r="T264" s="46" t="s">
        <v>124</v>
      </c>
      <c r="U264" s="46" t="s">
        <v>124</v>
      </c>
      <c r="V264" s="46" t="s">
        <v>124</v>
      </c>
      <c r="W264" s="5">
        <v>0</v>
      </c>
      <c r="X264" s="5">
        <v>1</v>
      </c>
      <c r="Y264" s="5">
        <v>0</v>
      </c>
      <c r="Z264" s="5">
        <v>1</v>
      </c>
      <c r="AA264" s="5">
        <v>1</v>
      </c>
      <c r="AB264" s="5">
        <v>1</v>
      </c>
      <c r="AC264" s="5">
        <v>1</v>
      </c>
      <c r="AD264" s="5">
        <v>2</v>
      </c>
      <c r="AE264" s="5">
        <v>1</v>
      </c>
      <c r="AF264" s="5">
        <v>1</v>
      </c>
      <c r="AG264" s="5">
        <v>0</v>
      </c>
      <c r="AH264" s="5">
        <v>0</v>
      </c>
      <c r="AI264" s="5">
        <v>0</v>
      </c>
      <c r="AJ264" s="5">
        <v>1</v>
      </c>
      <c r="AK264" s="5">
        <v>0</v>
      </c>
      <c r="AL264" s="5">
        <v>0</v>
      </c>
      <c r="AM264" s="5">
        <v>1</v>
      </c>
      <c r="AN264" s="5">
        <v>0</v>
      </c>
      <c r="AO264" s="5">
        <v>1</v>
      </c>
      <c r="AP264" s="5">
        <v>0</v>
      </c>
      <c r="AQ264" s="5">
        <v>0</v>
      </c>
      <c r="AR264" s="5">
        <v>0</v>
      </c>
      <c r="AS264" s="5">
        <v>1</v>
      </c>
      <c r="AT264" s="5">
        <v>1</v>
      </c>
      <c r="AU264" s="5"/>
      <c r="AV264" s="8">
        <f t="shared" si="234"/>
        <v>0.66666666666666663</v>
      </c>
      <c r="AW264" s="8">
        <f t="shared" si="235"/>
        <v>0.4</v>
      </c>
      <c r="AX264" s="8">
        <f t="shared" si="236"/>
        <v>0.4</v>
      </c>
      <c r="AY264" s="8"/>
      <c r="AZ264" s="47">
        <f t="shared" si="237"/>
        <v>1.4999999999999998</v>
      </c>
      <c r="BA264" s="15"/>
    </row>
    <row r="265" spans="2:53" ht="11.25" customHeight="1">
      <c r="B265" s="16"/>
      <c r="C265" s="1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0"/>
      <c r="AW265" s="10"/>
      <c r="AX265" s="10"/>
      <c r="AY265" s="15"/>
      <c r="AZ265" s="15"/>
      <c r="BA265" s="15"/>
    </row>
    <row r="266" spans="2:53" ht="11.25" customHeight="1">
      <c r="B266" s="5" t="s">
        <v>74</v>
      </c>
      <c r="C266" s="5" t="s">
        <v>290</v>
      </c>
      <c r="D266" s="5" t="s">
        <v>310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>
        <v>0</v>
      </c>
      <c r="AR266" s="5">
        <v>8</v>
      </c>
      <c r="AS266" s="5">
        <v>10</v>
      </c>
      <c r="AT266" s="5">
        <v>7</v>
      </c>
      <c r="AU266" s="5"/>
      <c r="AV266" s="8">
        <f t="shared" ref="AV266" si="238">IF(SUM(AR266:AT266)&gt;=0,AVERAGE(AR266:AT266),"")</f>
        <v>8.3333333333333339</v>
      </c>
      <c r="AW266" s="6" t="s">
        <v>125</v>
      </c>
      <c r="AX266" s="6" t="s">
        <v>125</v>
      </c>
      <c r="AY266" s="15"/>
      <c r="AZ266" s="15"/>
      <c r="BA266" s="15"/>
    </row>
    <row r="267" spans="2:53" ht="11.25" customHeight="1">
      <c r="B267" s="16"/>
      <c r="C267" s="1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0"/>
      <c r="AW267" s="10"/>
      <c r="AX267" s="10"/>
      <c r="AY267" s="15"/>
      <c r="AZ267" s="15"/>
      <c r="BA267" s="15"/>
    </row>
    <row r="268" spans="2:53" ht="11.25" customHeight="1">
      <c r="B268" s="5" t="s">
        <v>286</v>
      </c>
      <c r="C268" s="5" t="s">
        <v>296</v>
      </c>
      <c r="D268" s="5" t="s">
        <v>285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1</v>
      </c>
      <c r="AT268" s="5">
        <v>0</v>
      </c>
      <c r="AU268" s="5"/>
      <c r="AV268" s="8">
        <f t="shared" ref="AV268" si="239">IF(SUM(AR268:AT268)&gt;=0,AVERAGE(AR268:AT268),"")</f>
        <v>0.33333333333333331</v>
      </c>
      <c r="AW268" s="8">
        <f>IF(SUM(AP268:AT268)&gt;=0,AVERAGE(AP268:AT268),"")</f>
        <v>0.2</v>
      </c>
      <c r="AX268" s="6" t="s">
        <v>125</v>
      </c>
      <c r="AY268" s="15"/>
      <c r="AZ268" s="15"/>
      <c r="BA268" s="15"/>
    </row>
    <row r="269" spans="2:53" ht="11.25" customHeight="1">
      <c r="B269" s="16"/>
      <c r="C269" s="1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0"/>
      <c r="AW269" s="10"/>
      <c r="AX269" s="10"/>
      <c r="AY269" s="15"/>
      <c r="AZ269" s="15"/>
      <c r="BA269" s="15"/>
    </row>
    <row r="270" spans="2:53" ht="11.25" customHeight="1">
      <c r="B270" s="5" t="s">
        <v>232</v>
      </c>
      <c r="C270" s="5" t="s">
        <v>262</v>
      </c>
      <c r="D270" s="5" t="s">
        <v>263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>
        <v>30</v>
      </c>
      <c r="AH270" s="5">
        <v>20</v>
      </c>
      <c r="AI270" s="5">
        <v>12</v>
      </c>
      <c r="AJ270" s="5">
        <v>4</v>
      </c>
      <c r="AK270" s="5">
        <v>4</v>
      </c>
      <c r="AL270" s="5">
        <v>3</v>
      </c>
      <c r="AM270" s="5">
        <v>1</v>
      </c>
      <c r="AN270" s="5">
        <v>2</v>
      </c>
      <c r="AO270" s="5">
        <v>1</v>
      </c>
      <c r="AP270" s="5">
        <v>0</v>
      </c>
      <c r="AQ270" s="5">
        <v>1</v>
      </c>
      <c r="AR270" s="5">
        <v>0</v>
      </c>
      <c r="AS270" s="5">
        <v>0</v>
      </c>
      <c r="AT270" s="5">
        <v>0</v>
      </c>
      <c r="AU270" s="16"/>
      <c r="AV270" s="8">
        <f t="shared" ref="AV270" si="240">IF(SUM(AR270:AT270)&gt;=0,AVERAGE(AR270:AT270),"")</f>
        <v>0</v>
      </c>
      <c r="AW270" s="8">
        <f>IF(SUM(AP270:AT270)&gt;=0,AVERAGE(AP270:AT270),"")</f>
        <v>0.2</v>
      </c>
      <c r="AX270" s="8">
        <f t="shared" ref="AX270" si="241">IF(SUM(AK270:AT270)&gt;=0,AVERAGE(AK270:AT270),"")</f>
        <v>1.2</v>
      </c>
      <c r="AY270" s="8"/>
      <c r="AZ270" s="47">
        <f t="shared" ref="AZ270" si="242">(AT270-AX270)/AX270</f>
        <v>-1</v>
      </c>
      <c r="BA270" s="15"/>
    </row>
    <row r="271" spans="2:53" ht="11.25" customHeight="1">
      <c r="B271" s="16"/>
      <c r="C271" s="1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0"/>
      <c r="AW271" s="10"/>
      <c r="AX271" s="10"/>
      <c r="AY271" s="15"/>
      <c r="AZ271" s="15"/>
      <c r="BA271" s="15"/>
    </row>
    <row r="272" spans="2:53" ht="11.25" hidden="1" customHeight="1">
      <c r="B272" s="15" t="s">
        <v>105</v>
      </c>
      <c r="C272" s="5" t="s">
        <v>223</v>
      </c>
      <c r="D272" s="5" t="s">
        <v>134</v>
      </c>
      <c r="E272" s="5"/>
      <c r="F272" s="5"/>
      <c r="G272" s="5"/>
      <c r="H272" s="5"/>
      <c r="I272" s="46" t="s">
        <v>124</v>
      </c>
      <c r="J272" s="46" t="s">
        <v>124</v>
      </c>
      <c r="K272" s="46" t="s">
        <v>124</v>
      </c>
      <c r="L272" s="46" t="s">
        <v>124</v>
      </c>
      <c r="M272" s="46" t="s">
        <v>124</v>
      </c>
      <c r="N272" s="46" t="s">
        <v>124</v>
      </c>
      <c r="O272" s="46" t="s">
        <v>124</v>
      </c>
      <c r="P272" s="46" t="s">
        <v>124</v>
      </c>
      <c r="Q272" s="46" t="s">
        <v>124</v>
      </c>
      <c r="R272" s="46" t="s">
        <v>124</v>
      </c>
      <c r="S272" s="46" t="s">
        <v>124</v>
      </c>
      <c r="T272" s="46" t="s">
        <v>124</v>
      </c>
      <c r="U272" s="46" t="s">
        <v>124</v>
      </c>
      <c r="V272" s="46" t="s">
        <v>124</v>
      </c>
      <c r="W272" s="5">
        <v>0</v>
      </c>
      <c r="X272" s="5">
        <v>6</v>
      </c>
      <c r="Y272" s="5">
        <v>5</v>
      </c>
      <c r="Z272" s="5">
        <v>1</v>
      </c>
      <c r="AA272" s="5">
        <v>3</v>
      </c>
      <c r="AB272" s="5">
        <v>3</v>
      </c>
      <c r="AC272" s="5">
        <v>0</v>
      </c>
      <c r="AD272" s="5">
        <v>8</v>
      </c>
      <c r="AE272" s="5">
        <v>2</v>
      </c>
      <c r="AF272" s="5">
        <v>8</v>
      </c>
      <c r="AG272" s="5">
        <v>9</v>
      </c>
      <c r="AH272" s="5">
        <v>6</v>
      </c>
      <c r="AI272" s="5">
        <v>4</v>
      </c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16"/>
      <c r="AV272" s="6" t="s">
        <v>125</v>
      </c>
      <c r="AW272" s="6" t="s">
        <v>125</v>
      </c>
      <c r="AX272" s="6" t="s">
        <v>125</v>
      </c>
      <c r="AY272" s="15"/>
      <c r="AZ272" s="15"/>
      <c r="BA272" s="15"/>
    </row>
    <row r="273" spans="2:53" ht="11.25" hidden="1" customHeight="1">
      <c r="B273" s="5"/>
      <c r="C273" s="5"/>
      <c r="D273" s="5" t="s">
        <v>115</v>
      </c>
      <c r="E273" s="5"/>
      <c r="F273" s="5"/>
      <c r="G273" s="5"/>
      <c r="H273" s="5"/>
      <c r="I273" s="46" t="s">
        <v>124</v>
      </c>
      <c r="J273" s="46" t="s">
        <v>124</v>
      </c>
      <c r="K273" s="46" t="s">
        <v>124</v>
      </c>
      <c r="L273" s="46" t="s">
        <v>124</v>
      </c>
      <c r="M273" s="46" t="s">
        <v>124</v>
      </c>
      <c r="N273" s="46" t="s">
        <v>124</v>
      </c>
      <c r="O273" s="5">
        <v>0</v>
      </c>
      <c r="P273" s="5">
        <v>2</v>
      </c>
      <c r="Q273" s="5">
        <v>1</v>
      </c>
      <c r="R273" s="5">
        <v>1</v>
      </c>
      <c r="S273" s="5">
        <v>4</v>
      </c>
      <c r="T273" s="5">
        <v>3</v>
      </c>
      <c r="U273" s="5">
        <v>6</v>
      </c>
      <c r="V273" s="5">
        <v>6</v>
      </c>
      <c r="W273" s="5">
        <v>6</v>
      </c>
      <c r="X273" s="5">
        <f>5+1</f>
        <v>6</v>
      </c>
      <c r="Y273" s="5">
        <v>1</v>
      </c>
      <c r="Z273" s="5">
        <v>3</v>
      </c>
      <c r="AA273" s="5">
        <v>1</v>
      </c>
      <c r="AB273" s="5">
        <f>7+1</f>
        <v>8</v>
      </c>
      <c r="AC273" s="5">
        <v>1</v>
      </c>
      <c r="AD273" s="5">
        <v>5</v>
      </c>
      <c r="AE273" s="5">
        <v>6</v>
      </c>
      <c r="AF273" s="5">
        <v>4</v>
      </c>
      <c r="AG273" s="5">
        <v>4</v>
      </c>
      <c r="AH273" s="5">
        <v>7</v>
      </c>
      <c r="AI273" s="5">
        <v>8</v>
      </c>
      <c r="AJ273" s="5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6" t="s">
        <v>125</v>
      </c>
      <c r="AW273" s="6" t="s">
        <v>125</v>
      </c>
      <c r="AX273" s="6" t="s">
        <v>125</v>
      </c>
      <c r="AY273" s="15"/>
      <c r="AZ273" s="15"/>
      <c r="BA273" s="15"/>
    </row>
    <row r="274" spans="2:53" ht="11.25" hidden="1" customHeight="1">
      <c r="B274" s="5"/>
      <c r="C274" s="5" t="s">
        <v>323</v>
      </c>
      <c r="D274" s="5" t="s">
        <v>62</v>
      </c>
      <c r="E274" s="5"/>
      <c r="F274" s="5"/>
      <c r="G274" s="5"/>
      <c r="H274" s="5"/>
      <c r="I274" s="46"/>
      <c r="J274" s="46"/>
      <c r="K274" s="46"/>
      <c r="L274" s="46"/>
      <c r="M274" s="46"/>
      <c r="N274" s="46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>
        <v>1</v>
      </c>
      <c r="AI274" s="5">
        <v>1</v>
      </c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16"/>
      <c r="AV274" s="6" t="s">
        <v>125</v>
      </c>
      <c r="AW274" s="6" t="s">
        <v>125</v>
      </c>
      <c r="AX274" s="6" t="s">
        <v>125</v>
      </c>
      <c r="AY274" s="15"/>
      <c r="AZ274" s="15"/>
      <c r="BA274" s="15"/>
    </row>
    <row r="275" spans="2:53" hidden="1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</row>
    <row r="276" spans="2:53">
      <c r="B276" s="15" t="s">
        <v>106</v>
      </c>
      <c r="C276" s="15" t="s">
        <v>202</v>
      </c>
      <c r="D276" s="15" t="s">
        <v>227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>
        <v>1</v>
      </c>
      <c r="AJ276" s="15">
        <v>1</v>
      </c>
      <c r="AK276" s="15">
        <v>2</v>
      </c>
      <c r="AL276" s="15">
        <v>2</v>
      </c>
      <c r="AM276" s="15">
        <v>7</v>
      </c>
      <c r="AN276" s="15">
        <v>3</v>
      </c>
      <c r="AO276" s="15">
        <v>6</v>
      </c>
      <c r="AP276" s="15">
        <v>2</v>
      </c>
      <c r="AQ276" s="15">
        <v>7</v>
      </c>
      <c r="AR276" s="15">
        <v>3</v>
      </c>
      <c r="AS276" s="15">
        <v>3</v>
      </c>
      <c r="AT276" s="15">
        <v>3</v>
      </c>
      <c r="AU276" s="15"/>
      <c r="AV276" s="8">
        <f t="shared" ref="AV276:AV279" si="243">IF(SUM(AR276:AT276)&gt;=0,AVERAGE(AR276:AT276),"")</f>
        <v>3</v>
      </c>
      <c r="AW276" s="8">
        <f t="shared" ref="AW276:AW279" si="244">IF(SUM(AP276:AT276)&gt;=0,AVERAGE(AP276:AT276),"")</f>
        <v>3.6</v>
      </c>
      <c r="AX276" s="8">
        <f t="shared" ref="AX276:AX277" si="245">IF(SUM(AK276:AT276)&gt;=0,AVERAGE(AK276:AT276),"")</f>
        <v>3.8</v>
      </c>
      <c r="AY276" s="8"/>
      <c r="AZ276" s="47">
        <f t="shared" ref="AZ276:AZ277" si="246">(AT276-AX276)/AX276</f>
        <v>-0.21052631578947364</v>
      </c>
      <c r="BA276" s="15"/>
    </row>
    <row r="277" spans="2:53" ht="11.25" customHeight="1">
      <c r="B277" s="15"/>
      <c r="C277" s="5" t="s">
        <v>191</v>
      </c>
      <c r="D277" s="5" t="s">
        <v>133</v>
      </c>
      <c r="E277" s="5"/>
      <c r="F277" s="5"/>
      <c r="G277" s="5"/>
      <c r="H277" s="5"/>
      <c r="I277" s="46" t="s">
        <v>124</v>
      </c>
      <c r="J277" s="46" t="s">
        <v>124</v>
      </c>
      <c r="K277" s="46" t="s">
        <v>124</v>
      </c>
      <c r="L277" s="46" t="s">
        <v>124</v>
      </c>
      <c r="M277" s="46" t="s">
        <v>124</v>
      </c>
      <c r="N277" s="46" t="s">
        <v>124</v>
      </c>
      <c r="O277" s="46" t="s">
        <v>124</v>
      </c>
      <c r="P277" s="46" t="s">
        <v>124</v>
      </c>
      <c r="Q277" s="46" t="s">
        <v>124</v>
      </c>
      <c r="R277" s="46" t="s">
        <v>124</v>
      </c>
      <c r="S277" s="46" t="s">
        <v>124</v>
      </c>
      <c r="T277" s="46" t="s">
        <v>124</v>
      </c>
      <c r="U277" s="46" t="s">
        <v>124</v>
      </c>
      <c r="V277" s="46" t="s">
        <v>124</v>
      </c>
      <c r="W277" s="46"/>
      <c r="X277" s="46"/>
      <c r="Y277" s="5">
        <v>1</v>
      </c>
      <c r="Z277" s="5">
        <v>4</v>
      </c>
      <c r="AA277" s="5">
        <v>4</v>
      </c>
      <c r="AB277" s="5">
        <v>10</v>
      </c>
      <c r="AC277" s="5">
        <v>16</v>
      </c>
      <c r="AD277" s="5">
        <v>11</v>
      </c>
      <c r="AE277" s="5">
        <v>10</v>
      </c>
      <c r="AF277" s="5">
        <v>15</v>
      </c>
      <c r="AG277" s="5">
        <v>15</v>
      </c>
      <c r="AH277" s="5">
        <v>12</v>
      </c>
      <c r="AI277" s="5">
        <v>14</v>
      </c>
      <c r="AJ277" s="5">
        <v>30</v>
      </c>
      <c r="AK277" s="5">
        <v>25</v>
      </c>
      <c r="AL277" s="5">
        <v>21</v>
      </c>
      <c r="AM277" s="5">
        <v>15</v>
      </c>
      <c r="AN277" s="5">
        <v>24</v>
      </c>
      <c r="AO277" s="5">
        <v>15</v>
      </c>
      <c r="AP277" s="5">
        <v>14</v>
      </c>
      <c r="AQ277" s="5">
        <v>24</v>
      </c>
      <c r="AR277" s="5">
        <v>16</v>
      </c>
      <c r="AS277" s="5">
        <v>9</v>
      </c>
      <c r="AT277" s="5">
        <v>9</v>
      </c>
      <c r="AU277" s="5"/>
      <c r="AV277" s="8">
        <f t="shared" si="243"/>
        <v>11.333333333333334</v>
      </c>
      <c r="AW277" s="8">
        <f t="shared" si="244"/>
        <v>14.4</v>
      </c>
      <c r="AX277" s="8">
        <f t="shared" si="245"/>
        <v>17.2</v>
      </c>
      <c r="AY277" s="8"/>
      <c r="AZ277" s="47">
        <f t="shared" si="246"/>
        <v>-0.47674418604651159</v>
      </c>
      <c r="BA277" s="15"/>
    </row>
    <row r="278" spans="2:53" ht="11.25" customHeight="1">
      <c r="B278" s="15"/>
      <c r="C278" s="5" t="s">
        <v>266</v>
      </c>
      <c r="D278" s="15" t="s">
        <v>62</v>
      </c>
      <c r="E278" s="5"/>
      <c r="F278" s="5"/>
      <c r="G278" s="5"/>
      <c r="H278" s="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>
        <v>1</v>
      </c>
      <c r="AQ278" s="5">
        <v>0</v>
      </c>
      <c r="AR278" s="5">
        <v>2</v>
      </c>
      <c r="AS278" s="5">
        <v>3</v>
      </c>
      <c r="AT278" s="5">
        <v>6</v>
      </c>
      <c r="AU278" s="16"/>
      <c r="AV278" s="8">
        <f t="shared" si="243"/>
        <v>3.6666666666666665</v>
      </c>
      <c r="AW278" s="8">
        <f t="shared" si="244"/>
        <v>2.4</v>
      </c>
      <c r="AX278" s="6" t="s">
        <v>125</v>
      </c>
      <c r="AY278" s="15"/>
      <c r="AZ278" s="15"/>
      <c r="BA278" s="15"/>
    </row>
    <row r="279" spans="2:53" ht="11.25" customHeight="1">
      <c r="B279" s="5"/>
      <c r="C279" s="5" t="s">
        <v>83</v>
      </c>
      <c r="D279" s="5" t="s">
        <v>150</v>
      </c>
      <c r="E279" s="5">
        <v>0</v>
      </c>
      <c r="F279" s="5">
        <v>6</v>
      </c>
      <c r="G279" s="5">
        <v>4</v>
      </c>
      <c r="H279" s="5">
        <v>6</v>
      </c>
      <c r="I279" s="5">
        <v>8</v>
      </c>
      <c r="J279" s="5">
        <v>6</v>
      </c>
      <c r="K279" s="5">
        <v>1</v>
      </c>
      <c r="L279" s="5">
        <v>5</v>
      </c>
      <c r="M279" s="5">
        <v>4</v>
      </c>
      <c r="N279" s="5">
        <v>7</v>
      </c>
      <c r="O279" s="5">
        <v>7</v>
      </c>
      <c r="P279" s="5">
        <v>3</v>
      </c>
      <c r="Q279" s="5">
        <v>5</v>
      </c>
      <c r="R279" s="5">
        <v>6</v>
      </c>
      <c r="S279" s="5">
        <v>6</v>
      </c>
      <c r="T279" s="5">
        <v>7</v>
      </c>
      <c r="U279" s="5">
        <v>9</v>
      </c>
      <c r="V279" s="5">
        <v>7</v>
      </c>
      <c r="W279" s="5">
        <v>11</v>
      </c>
      <c r="X279" s="5">
        <v>3</v>
      </c>
      <c r="Y279" s="5">
        <v>7</v>
      </c>
      <c r="Z279" s="5">
        <v>10</v>
      </c>
      <c r="AA279" s="5">
        <v>13</v>
      </c>
      <c r="AB279" s="5">
        <v>23</v>
      </c>
      <c r="AC279" s="5">
        <v>17</v>
      </c>
      <c r="AD279" s="5">
        <v>20</v>
      </c>
      <c r="AE279" s="5">
        <v>31</v>
      </c>
      <c r="AF279" s="5">
        <v>29</v>
      </c>
      <c r="AG279" s="5">
        <v>28</v>
      </c>
      <c r="AH279" s="5">
        <v>18</v>
      </c>
      <c r="AI279" s="5">
        <v>12</v>
      </c>
      <c r="AJ279" s="5">
        <v>26</v>
      </c>
      <c r="AK279" s="5">
        <v>16</v>
      </c>
      <c r="AL279" s="5">
        <v>26</v>
      </c>
      <c r="AM279" s="5">
        <v>33</v>
      </c>
      <c r="AN279" s="5">
        <v>25</v>
      </c>
      <c r="AO279" s="5">
        <v>22</v>
      </c>
      <c r="AP279" s="5">
        <v>18</v>
      </c>
      <c r="AQ279" s="5">
        <v>18</v>
      </c>
      <c r="AR279" s="5">
        <v>16</v>
      </c>
      <c r="AS279" s="5">
        <v>9</v>
      </c>
      <c r="AT279" s="5">
        <v>11</v>
      </c>
      <c r="AU279" s="5"/>
      <c r="AV279" s="8">
        <f t="shared" si="243"/>
        <v>12</v>
      </c>
      <c r="AW279" s="8">
        <f t="shared" si="244"/>
        <v>14.4</v>
      </c>
      <c r="AX279" s="8">
        <f t="shared" ref="AX279" si="247">IF(SUM(AK279:AT279)&gt;=0,AVERAGE(AK279:AT279),"")</f>
        <v>19.399999999999999</v>
      </c>
      <c r="AY279" s="8"/>
      <c r="AZ279" s="47">
        <f t="shared" ref="AZ279" si="248">(AT279-AX279)/AX279</f>
        <v>-0.43298969072164945</v>
      </c>
      <c r="BA279" s="15"/>
    </row>
    <row r="280" spans="2:53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</row>
    <row r="281" spans="2:53">
      <c r="B281" s="5" t="s">
        <v>58</v>
      </c>
      <c r="C281" s="15"/>
      <c r="D281" s="49" t="s">
        <v>2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>
        <f t="shared" ref="AG281:AL281" si="249">AG270</f>
        <v>30</v>
      </c>
      <c r="AH281" s="15">
        <f t="shared" si="249"/>
        <v>20</v>
      </c>
      <c r="AI281" s="15">
        <f t="shared" si="249"/>
        <v>12</v>
      </c>
      <c r="AJ281" s="15">
        <f t="shared" si="249"/>
        <v>4</v>
      </c>
      <c r="AK281" s="15">
        <f t="shared" si="249"/>
        <v>4</v>
      </c>
      <c r="AL281" s="15">
        <f t="shared" si="249"/>
        <v>3</v>
      </c>
      <c r="AM281" s="15">
        <f t="shared" ref="AM281:AR281" si="250">AM270</f>
        <v>1</v>
      </c>
      <c r="AN281" s="15">
        <f t="shared" si="250"/>
        <v>2</v>
      </c>
      <c r="AO281" s="15">
        <f t="shared" si="250"/>
        <v>1</v>
      </c>
      <c r="AP281" s="15">
        <f t="shared" si="250"/>
        <v>0</v>
      </c>
      <c r="AQ281" s="15">
        <f t="shared" si="250"/>
        <v>1</v>
      </c>
      <c r="AR281" s="15">
        <f t="shared" si="250"/>
        <v>0</v>
      </c>
      <c r="AS281" s="15">
        <f t="shared" ref="AS281:AT281" si="251">AS270</f>
        <v>0</v>
      </c>
      <c r="AT281" s="15">
        <f t="shared" si="251"/>
        <v>0</v>
      </c>
      <c r="AU281" s="15"/>
      <c r="AV281" s="8">
        <f t="shared" ref="AV281:AV283" si="252">IF(SUM(AR281:AT281)&gt;=0,AVERAGE(AR281:AT281),"")</f>
        <v>0</v>
      </c>
      <c r="AW281" s="8">
        <f t="shared" ref="AW281:AW283" si="253">IF(SUM(AP281:AT281)&gt;=0,AVERAGE(AP281:AT281),"")</f>
        <v>0.2</v>
      </c>
      <c r="AX281" s="8">
        <f t="shared" ref="AX281:AX283" si="254">IF(SUM(AK281:AT281)&gt;=0,AVERAGE(AK281:AT281),"")</f>
        <v>1.2</v>
      </c>
      <c r="AY281" s="8"/>
      <c r="AZ281" s="47">
        <f t="shared" ref="AZ281:AZ283" si="255">(AT281-AX281)/AX281</f>
        <v>-1</v>
      </c>
      <c r="BA281" s="15"/>
    </row>
    <row r="282" spans="2:53" ht="11.25" customHeight="1">
      <c r="B282" s="15"/>
      <c r="C282" s="5"/>
      <c r="D282" s="49" t="s">
        <v>121</v>
      </c>
      <c r="E282" s="5"/>
      <c r="F282" s="5"/>
      <c r="G282" s="5"/>
      <c r="H282" s="5"/>
      <c r="I282" s="46" t="s">
        <v>124</v>
      </c>
      <c r="J282" s="46" t="s">
        <v>124</v>
      </c>
      <c r="K282" s="46" t="s">
        <v>124</v>
      </c>
      <c r="L282" s="46" t="s">
        <v>124</v>
      </c>
      <c r="M282" s="46" t="s">
        <v>124</v>
      </c>
      <c r="N282" s="46" t="s">
        <v>124</v>
      </c>
      <c r="O282" s="46" t="s">
        <v>124</v>
      </c>
      <c r="P282" s="46" t="s">
        <v>124</v>
      </c>
      <c r="Q282" s="46" t="s">
        <v>124</v>
      </c>
      <c r="R282" s="46" t="s">
        <v>124</v>
      </c>
      <c r="S282" s="46" t="s">
        <v>124</v>
      </c>
      <c r="T282" s="46" t="s">
        <v>124</v>
      </c>
      <c r="U282" s="46" t="s">
        <v>124</v>
      </c>
      <c r="V282" s="46" t="s">
        <v>124</v>
      </c>
      <c r="W282" s="50">
        <f t="shared" ref="W282:AG282" si="256">W264+W263+W272+W277</f>
        <v>0</v>
      </c>
      <c r="X282" s="50">
        <f t="shared" si="256"/>
        <v>9</v>
      </c>
      <c r="Y282" s="50">
        <f t="shared" si="256"/>
        <v>6</v>
      </c>
      <c r="Z282" s="50">
        <f t="shared" si="256"/>
        <v>7</v>
      </c>
      <c r="AA282" s="50">
        <f t="shared" si="256"/>
        <v>14</v>
      </c>
      <c r="AB282" s="50">
        <f t="shared" si="256"/>
        <v>19</v>
      </c>
      <c r="AC282" s="50">
        <f t="shared" si="256"/>
        <v>20</v>
      </c>
      <c r="AD282" s="50">
        <f t="shared" si="256"/>
        <v>22</v>
      </c>
      <c r="AE282" s="50">
        <f t="shared" si="256"/>
        <v>14</v>
      </c>
      <c r="AF282" s="50">
        <f t="shared" si="256"/>
        <v>24</v>
      </c>
      <c r="AG282" s="50">
        <f t="shared" si="256"/>
        <v>24</v>
      </c>
      <c r="AH282" s="50">
        <f>AH264+AH263+AH272+AH274+AH277</f>
        <v>21</v>
      </c>
      <c r="AI282" s="50">
        <f>AI264+AI263+AI272+AI274+AI276+AI277</f>
        <v>22</v>
      </c>
      <c r="AJ282" s="50">
        <f t="shared" ref="AJ282:AM282" si="257">AJ264+AJ263+AJ276+AJ277</f>
        <v>33</v>
      </c>
      <c r="AK282" s="50">
        <f t="shared" si="257"/>
        <v>30</v>
      </c>
      <c r="AL282" s="50">
        <f t="shared" si="257"/>
        <v>24</v>
      </c>
      <c r="AM282" s="50">
        <f t="shared" si="257"/>
        <v>24</v>
      </c>
      <c r="AN282" s="50">
        <f>AN264+AN263+AN276+AN277+AN268</f>
        <v>31</v>
      </c>
      <c r="AO282" s="50">
        <f>AO264+AO263+AO276+AO277+AO268</f>
        <v>26</v>
      </c>
      <c r="AP282" s="50">
        <f>AP264+AP263+AP276+AP277+AP278+AP268</f>
        <v>19</v>
      </c>
      <c r="AQ282" s="50">
        <f>AQ263+AQ264+AQ266+AQ276+AQ277+AQ278+AQ268</f>
        <v>35</v>
      </c>
      <c r="AR282" s="50">
        <f>AR263+AR264+AR266+AR276+AR277+AR278+AR268</f>
        <v>31</v>
      </c>
      <c r="AS282" s="50">
        <f>AS263+AS264+AS266+AS268+AS276+AS277+AS278</f>
        <v>30</v>
      </c>
      <c r="AT282" s="50">
        <f>AT263+AT264+AT266+AT268+AT276+AT277+AT278</f>
        <v>28</v>
      </c>
      <c r="AU282" s="50"/>
      <c r="AV282" s="8">
        <f t="shared" si="252"/>
        <v>29.666666666666668</v>
      </c>
      <c r="AW282" s="8">
        <f t="shared" si="253"/>
        <v>28.6</v>
      </c>
      <c r="AX282" s="8">
        <f t="shared" si="254"/>
        <v>27.8</v>
      </c>
      <c r="AY282" s="8"/>
      <c r="AZ282" s="47">
        <f t="shared" si="255"/>
        <v>7.1942446043165211E-3</v>
      </c>
      <c r="BA282" s="15"/>
    </row>
    <row r="283" spans="2:53" ht="11.25" customHeight="1">
      <c r="B283" s="15"/>
      <c r="C283" s="5"/>
      <c r="D283" s="49" t="s">
        <v>3</v>
      </c>
      <c r="E283" s="5">
        <f>E279</f>
        <v>0</v>
      </c>
      <c r="F283" s="5">
        <f t="shared" ref="F283:N283" si="258">F279</f>
        <v>6</v>
      </c>
      <c r="G283" s="5">
        <f t="shared" si="258"/>
        <v>4</v>
      </c>
      <c r="H283" s="5">
        <f t="shared" si="258"/>
        <v>6</v>
      </c>
      <c r="I283" s="5">
        <f t="shared" si="258"/>
        <v>8</v>
      </c>
      <c r="J283" s="5">
        <f t="shared" si="258"/>
        <v>6</v>
      </c>
      <c r="K283" s="5">
        <f t="shared" si="258"/>
        <v>1</v>
      </c>
      <c r="L283" s="5">
        <f t="shared" si="258"/>
        <v>5</v>
      </c>
      <c r="M283" s="5">
        <f t="shared" si="258"/>
        <v>4</v>
      </c>
      <c r="N283" s="5">
        <f t="shared" si="258"/>
        <v>7</v>
      </c>
      <c r="O283" s="5">
        <f>O273+O279</f>
        <v>7</v>
      </c>
      <c r="P283" s="5">
        <f t="shared" ref="P283:V283" si="259">P273+P279</f>
        <v>5</v>
      </c>
      <c r="Q283" s="5">
        <f t="shared" si="259"/>
        <v>6</v>
      </c>
      <c r="R283" s="5">
        <f t="shared" si="259"/>
        <v>7</v>
      </c>
      <c r="S283" s="5">
        <f t="shared" si="259"/>
        <v>10</v>
      </c>
      <c r="T283" s="5">
        <f t="shared" si="259"/>
        <v>10</v>
      </c>
      <c r="U283" s="5">
        <f t="shared" si="259"/>
        <v>15</v>
      </c>
      <c r="V283" s="5">
        <f t="shared" si="259"/>
        <v>13</v>
      </c>
      <c r="W283" s="50">
        <f t="shared" ref="W283:AD283" si="260">W273+W279</f>
        <v>17</v>
      </c>
      <c r="X283" s="50">
        <f t="shared" si="260"/>
        <v>9</v>
      </c>
      <c r="Y283" s="50">
        <f t="shared" si="260"/>
        <v>8</v>
      </c>
      <c r="Z283" s="50">
        <f t="shared" si="260"/>
        <v>13</v>
      </c>
      <c r="AA283" s="50">
        <f t="shared" si="260"/>
        <v>14</v>
      </c>
      <c r="AB283" s="50">
        <f t="shared" si="260"/>
        <v>31</v>
      </c>
      <c r="AC283" s="50">
        <f t="shared" si="260"/>
        <v>18</v>
      </c>
      <c r="AD283" s="50">
        <f t="shared" si="260"/>
        <v>25</v>
      </c>
      <c r="AE283" s="50">
        <f t="shared" ref="AE283:AI283" si="261">AE273+AE279</f>
        <v>37</v>
      </c>
      <c r="AF283" s="50">
        <f t="shared" si="261"/>
        <v>33</v>
      </c>
      <c r="AG283" s="50">
        <f t="shared" si="261"/>
        <v>32</v>
      </c>
      <c r="AH283" s="50">
        <f t="shared" si="261"/>
        <v>25</v>
      </c>
      <c r="AI283" s="50">
        <f t="shared" si="261"/>
        <v>20</v>
      </c>
      <c r="AJ283" s="50">
        <f>AJ279</f>
        <v>26</v>
      </c>
      <c r="AK283" s="50">
        <f t="shared" ref="AK283:AS283" si="262">AK279</f>
        <v>16</v>
      </c>
      <c r="AL283" s="50">
        <f t="shared" si="262"/>
        <v>26</v>
      </c>
      <c r="AM283" s="50">
        <f t="shared" si="262"/>
        <v>33</v>
      </c>
      <c r="AN283" s="50">
        <f t="shared" si="262"/>
        <v>25</v>
      </c>
      <c r="AO283" s="50">
        <f t="shared" si="262"/>
        <v>22</v>
      </c>
      <c r="AP283" s="50">
        <f t="shared" si="262"/>
        <v>18</v>
      </c>
      <c r="AQ283" s="50">
        <f t="shared" si="262"/>
        <v>18</v>
      </c>
      <c r="AR283" s="50">
        <f t="shared" si="262"/>
        <v>16</v>
      </c>
      <c r="AS283" s="50">
        <f t="shared" si="262"/>
        <v>9</v>
      </c>
      <c r="AT283" s="50">
        <f t="shared" ref="AT283" si="263">AT279</f>
        <v>11</v>
      </c>
      <c r="AU283" s="50"/>
      <c r="AV283" s="8">
        <f t="shared" si="252"/>
        <v>12</v>
      </c>
      <c r="AW283" s="8">
        <f t="shared" si="253"/>
        <v>14.4</v>
      </c>
      <c r="AX283" s="8">
        <f t="shared" si="254"/>
        <v>19.399999999999999</v>
      </c>
      <c r="AY283" s="8"/>
      <c r="AZ283" s="47">
        <f t="shared" si="255"/>
        <v>-0.43298969072164945</v>
      </c>
      <c r="BA283" s="15"/>
    </row>
    <row r="284" spans="2:53" ht="11.25" customHeight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0"/>
      <c r="AW284" s="10"/>
      <c r="AX284" s="10"/>
      <c r="AY284" s="15"/>
      <c r="AZ284" s="15"/>
      <c r="BA284" s="15"/>
    </row>
    <row r="285" spans="2:53" ht="11.25" customHeight="1">
      <c r="B285" s="5" t="s">
        <v>53</v>
      </c>
      <c r="C285" s="5"/>
      <c r="D285" s="5" t="s">
        <v>122</v>
      </c>
      <c r="E285" s="50">
        <f t="shared" ref="E285:U285" si="264">E283</f>
        <v>0</v>
      </c>
      <c r="F285" s="50">
        <f t="shared" si="264"/>
        <v>6</v>
      </c>
      <c r="G285" s="50">
        <f t="shared" si="264"/>
        <v>4</v>
      </c>
      <c r="H285" s="50">
        <f t="shared" si="264"/>
        <v>6</v>
      </c>
      <c r="I285" s="50">
        <f t="shared" si="264"/>
        <v>8</v>
      </c>
      <c r="J285" s="50">
        <f t="shared" si="264"/>
        <v>6</v>
      </c>
      <c r="K285" s="50">
        <f t="shared" si="264"/>
        <v>1</v>
      </c>
      <c r="L285" s="50">
        <f t="shared" si="264"/>
        <v>5</v>
      </c>
      <c r="M285" s="50">
        <f t="shared" si="264"/>
        <v>4</v>
      </c>
      <c r="N285" s="50">
        <f t="shared" si="264"/>
        <v>7</v>
      </c>
      <c r="O285" s="50">
        <f t="shared" si="264"/>
        <v>7</v>
      </c>
      <c r="P285" s="50">
        <f t="shared" si="264"/>
        <v>5</v>
      </c>
      <c r="Q285" s="50">
        <f t="shared" si="264"/>
        <v>6</v>
      </c>
      <c r="R285" s="50">
        <f t="shared" si="264"/>
        <v>7</v>
      </c>
      <c r="S285" s="50">
        <f t="shared" si="264"/>
        <v>10</v>
      </c>
      <c r="T285" s="50">
        <f t="shared" si="264"/>
        <v>10</v>
      </c>
      <c r="U285" s="50">
        <f t="shared" si="264"/>
        <v>15</v>
      </c>
      <c r="V285" s="50">
        <f>V283</f>
        <v>13</v>
      </c>
      <c r="W285" s="50">
        <f t="shared" ref="W285:AE285" si="265">SUM(W282:W283)</f>
        <v>17</v>
      </c>
      <c r="X285" s="50">
        <f t="shared" si="265"/>
        <v>18</v>
      </c>
      <c r="Y285" s="50">
        <f t="shared" si="265"/>
        <v>14</v>
      </c>
      <c r="Z285" s="50">
        <f t="shared" si="265"/>
        <v>20</v>
      </c>
      <c r="AA285" s="50">
        <f t="shared" si="265"/>
        <v>28</v>
      </c>
      <c r="AB285" s="50">
        <f t="shared" si="265"/>
        <v>50</v>
      </c>
      <c r="AC285" s="50">
        <f t="shared" si="265"/>
        <v>38</v>
      </c>
      <c r="AD285" s="50">
        <f t="shared" si="265"/>
        <v>47</v>
      </c>
      <c r="AE285" s="50">
        <f t="shared" si="265"/>
        <v>51</v>
      </c>
      <c r="AF285" s="50">
        <f>SUM(AF282:AF283)</f>
        <v>57</v>
      </c>
      <c r="AG285" s="50">
        <f t="shared" ref="AG285:AL285" si="266">SUM(AG281:AG283)</f>
        <v>86</v>
      </c>
      <c r="AH285" s="50">
        <f t="shared" si="266"/>
        <v>66</v>
      </c>
      <c r="AI285" s="50">
        <f t="shared" si="266"/>
        <v>54</v>
      </c>
      <c r="AJ285" s="50">
        <f t="shared" si="266"/>
        <v>63</v>
      </c>
      <c r="AK285" s="50">
        <f t="shared" si="266"/>
        <v>50</v>
      </c>
      <c r="AL285" s="50">
        <f t="shared" si="266"/>
        <v>53</v>
      </c>
      <c r="AM285" s="50">
        <f t="shared" ref="AM285:AR285" si="267">SUM(AM281:AM283)</f>
        <v>58</v>
      </c>
      <c r="AN285" s="50">
        <f t="shared" si="267"/>
        <v>58</v>
      </c>
      <c r="AO285" s="50">
        <f t="shared" si="267"/>
        <v>49</v>
      </c>
      <c r="AP285" s="50">
        <f t="shared" si="267"/>
        <v>37</v>
      </c>
      <c r="AQ285" s="50">
        <f t="shared" si="267"/>
        <v>54</v>
      </c>
      <c r="AR285" s="50">
        <f t="shared" si="267"/>
        <v>47</v>
      </c>
      <c r="AS285" s="50">
        <f t="shared" ref="AS285:AT285" si="268">SUM(AS281:AS283)</f>
        <v>39</v>
      </c>
      <c r="AT285" s="50">
        <f t="shared" si="268"/>
        <v>39</v>
      </c>
      <c r="AU285" s="50"/>
      <c r="AV285" s="8">
        <f t="shared" ref="AV285" si="269">IF(SUM(AR285:AT285)&gt;=0,AVERAGE(AR285:AT285),"")</f>
        <v>41.666666666666664</v>
      </c>
      <c r="AW285" s="8">
        <f>IF(SUM(AP285:AT285)&gt;=0,AVERAGE(AP285:AT285),"")</f>
        <v>43.2</v>
      </c>
      <c r="AX285" s="8">
        <f t="shared" ref="AX285" si="270">IF(SUM(AK285:AT285)&gt;=0,AVERAGE(AK285:AT285),"")</f>
        <v>48.4</v>
      </c>
      <c r="AY285" s="8"/>
      <c r="AZ285" s="47">
        <f t="shared" ref="AZ285" si="271">(AT285-AX285)/AX285</f>
        <v>-0.19421487603305781</v>
      </c>
      <c r="BA285" s="15"/>
    </row>
    <row r="286" spans="2:53" ht="11.25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10"/>
      <c r="AW286" s="10"/>
      <c r="AX286" s="10"/>
      <c r="AY286" s="15"/>
      <c r="AZ286" s="15"/>
      <c r="BA286" s="15"/>
    </row>
    <row r="287" spans="2:53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</row>
    <row r="288" spans="2:53" ht="22.5" customHeight="1">
      <c r="B288" s="52" t="s">
        <v>85</v>
      </c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41"/>
      <c r="AZ288" s="41"/>
      <c r="BA288" s="41"/>
    </row>
    <row r="289" spans="2:53" ht="11.25" customHeight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0" t="str">
        <f>IF(AA289&gt;0,IF(AA289&gt;9,(AA289-Z289)/Z289,"&lt;10 cases"),"")</f>
        <v/>
      </c>
      <c r="AW289" s="10" t="str">
        <f>IF(AA289&gt;0,IF(AA289&gt;9,(AA289-(SUM(V289:Z289)/5))/AA289,"&lt;10 cases"),"")</f>
        <v/>
      </c>
      <c r="AX289" s="10" t="str">
        <f>IF(AA289&gt;0,IF(AA289&gt;9,(AA289-SUM(Q289:Z289)/10)/AA289,"&lt;10 cases"),"")</f>
        <v/>
      </c>
      <c r="AY289" s="15"/>
      <c r="AZ289" s="15"/>
      <c r="BA289" s="15"/>
    </row>
    <row r="290" spans="2:53" ht="11.25" customHeight="1">
      <c r="B290" s="5" t="s">
        <v>96</v>
      </c>
      <c r="C290" s="5"/>
      <c r="D290" s="49" t="s">
        <v>189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>
        <f t="shared" ref="AN290:AS290" si="272">AN113+AN141</f>
        <v>2</v>
      </c>
      <c r="AO290" s="5">
        <f t="shared" si="272"/>
        <v>20</v>
      </c>
      <c r="AP290" s="5">
        <f t="shared" si="272"/>
        <v>34</v>
      </c>
      <c r="AQ290" s="5">
        <f t="shared" si="272"/>
        <v>29</v>
      </c>
      <c r="AR290" s="5">
        <f t="shared" si="272"/>
        <v>37</v>
      </c>
      <c r="AS290" s="5">
        <f t="shared" si="272"/>
        <v>35</v>
      </c>
      <c r="AT290" s="5">
        <f>AT113+AT141</f>
        <v>68</v>
      </c>
      <c r="AU290" s="16"/>
      <c r="AV290" s="8">
        <f t="shared" ref="AV290:AV296" si="273">IF(SUM(AR290:AT290)&gt;=0,AVERAGE(AR290:AT290),"")</f>
        <v>46.666666666666664</v>
      </c>
      <c r="AW290" s="8">
        <f t="shared" ref="AW290:AW296" si="274">IF(SUM(AP290:AT290)&gt;=0,AVERAGE(AP290:AT290),"")</f>
        <v>40.6</v>
      </c>
      <c r="AX290" s="6" t="s">
        <v>125</v>
      </c>
      <c r="AY290" s="15"/>
      <c r="AZ290" s="15"/>
      <c r="BA290" s="15"/>
    </row>
    <row r="291" spans="2:53">
      <c r="B291" s="15"/>
      <c r="C291" s="5"/>
      <c r="D291" s="49" t="s">
        <v>2</v>
      </c>
      <c r="E291" s="50">
        <f t="shared" ref="E291:AM291" si="275">E114+E142+E184+E208+E238+E251+E281</f>
        <v>1322</v>
      </c>
      <c r="F291" s="50">
        <f t="shared" si="275"/>
        <v>1235</v>
      </c>
      <c r="G291" s="50">
        <f t="shared" si="275"/>
        <v>1202</v>
      </c>
      <c r="H291" s="50">
        <f t="shared" si="275"/>
        <v>1201</v>
      </c>
      <c r="I291" s="50">
        <f t="shared" si="275"/>
        <v>1217</v>
      </c>
      <c r="J291" s="50">
        <f t="shared" si="275"/>
        <v>1178</v>
      </c>
      <c r="K291" s="50">
        <f t="shared" si="275"/>
        <v>1117</v>
      </c>
      <c r="L291" s="50">
        <f t="shared" si="275"/>
        <v>1148</v>
      </c>
      <c r="M291" s="50">
        <f t="shared" si="275"/>
        <v>1199</v>
      </c>
      <c r="N291" s="50">
        <f t="shared" si="275"/>
        <v>1218</v>
      </c>
      <c r="O291" s="50">
        <f t="shared" si="275"/>
        <v>1343</v>
      </c>
      <c r="P291" s="50">
        <f t="shared" si="275"/>
        <v>1476</v>
      </c>
      <c r="Q291" s="50">
        <f t="shared" si="275"/>
        <v>1554</v>
      </c>
      <c r="R291" s="50">
        <f t="shared" si="275"/>
        <v>1592</v>
      </c>
      <c r="S291" s="50">
        <f t="shared" si="275"/>
        <v>1608</v>
      </c>
      <c r="T291" s="50">
        <f t="shared" si="275"/>
        <v>1606</v>
      </c>
      <c r="U291" s="50">
        <f t="shared" si="275"/>
        <v>1690</v>
      </c>
      <c r="V291" s="50">
        <f t="shared" si="275"/>
        <v>1601</v>
      </c>
      <c r="W291" s="50">
        <f t="shared" si="275"/>
        <v>1513</v>
      </c>
      <c r="X291" s="50">
        <f t="shared" si="275"/>
        <v>1585</v>
      </c>
      <c r="Y291" s="50">
        <f t="shared" si="275"/>
        <v>1568</v>
      </c>
      <c r="Z291" s="50">
        <f t="shared" si="275"/>
        <v>1630</v>
      </c>
      <c r="AA291" s="50">
        <f t="shared" si="275"/>
        <v>1615</v>
      </c>
      <c r="AB291" s="50">
        <f t="shared" si="275"/>
        <v>1695</v>
      </c>
      <c r="AC291" s="50">
        <f t="shared" si="275"/>
        <v>1862</v>
      </c>
      <c r="AD291" s="50">
        <f t="shared" si="275"/>
        <v>1867</v>
      </c>
      <c r="AE291" s="50">
        <f t="shared" si="275"/>
        <v>1933</v>
      </c>
      <c r="AF291" s="50">
        <f t="shared" si="275"/>
        <v>1923</v>
      </c>
      <c r="AG291" s="50">
        <f t="shared" si="275"/>
        <v>1925</v>
      </c>
      <c r="AH291" s="50">
        <f t="shared" si="275"/>
        <v>2091</v>
      </c>
      <c r="AI291" s="50">
        <f t="shared" si="275"/>
        <v>2016</v>
      </c>
      <c r="AJ291" s="50">
        <f t="shared" si="275"/>
        <v>2018</v>
      </c>
      <c r="AK291" s="50">
        <f t="shared" si="275"/>
        <v>2011</v>
      </c>
      <c r="AL291" s="50">
        <f t="shared" si="275"/>
        <v>2092</v>
      </c>
      <c r="AM291" s="50">
        <f t="shared" si="275"/>
        <v>1963</v>
      </c>
      <c r="AN291" s="50">
        <f t="shared" ref="AN291:AS291" si="276">AN114+AN142+AN184+AN208+AN238+AN251+AN281</f>
        <v>1974</v>
      </c>
      <c r="AO291" s="50">
        <f t="shared" si="276"/>
        <v>2020</v>
      </c>
      <c r="AP291" s="50">
        <f t="shared" si="276"/>
        <v>2246</v>
      </c>
      <c r="AQ291" s="50">
        <f t="shared" si="276"/>
        <v>2252</v>
      </c>
      <c r="AR291" s="50">
        <f t="shared" si="276"/>
        <v>2071</v>
      </c>
      <c r="AS291" s="50">
        <f t="shared" si="276"/>
        <v>1988</v>
      </c>
      <c r="AT291" s="50">
        <f>AT114+AT142+AT184+AT208+AT238+AT251+AT281</f>
        <v>1921</v>
      </c>
      <c r="AU291" s="15"/>
      <c r="AV291" s="8">
        <f t="shared" si="273"/>
        <v>1993.3333333333333</v>
      </c>
      <c r="AW291" s="8">
        <f t="shared" si="274"/>
        <v>2095.6</v>
      </c>
      <c r="AX291" s="8">
        <f t="shared" ref="AX291:AX296" si="277">IF(SUM(AK291:AT291)&gt;=0,AVERAGE(AK291:AT291),"")</f>
        <v>2053.8000000000002</v>
      </c>
      <c r="AY291" s="8"/>
      <c r="AZ291" s="47">
        <f t="shared" ref="AZ291:AZ296" si="278">(AT291-AX291)/AX291</f>
        <v>-6.4660629077807077E-2</v>
      </c>
      <c r="BA291" s="15"/>
    </row>
    <row r="292" spans="2:53" ht="11.25" customHeight="1">
      <c r="B292" s="5"/>
      <c r="C292" s="5"/>
      <c r="D292" s="49" t="s">
        <v>121</v>
      </c>
      <c r="E292" s="50">
        <f t="shared" ref="E292:AM292" si="279">E115+E143+E185+E209+E282</f>
        <v>0</v>
      </c>
      <c r="F292" s="50">
        <f t="shared" si="279"/>
        <v>0</v>
      </c>
      <c r="G292" s="50">
        <f t="shared" si="279"/>
        <v>0</v>
      </c>
      <c r="H292" s="50">
        <f t="shared" si="279"/>
        <v>0</v>
      </c>
      <c r="I292" s="50">
        <f t="shared" si="279"/>
        <v>0</v>
      </c>
      <c r="J292" s="50">
        <f t="shared" si="279"/>
        <v>0</v>
      </c>
      <c r="K292" s="50">
        <f t="shared" si="279"/>
        <v>0</v>
      </c>
      <c r="L292" s="50">
        <f t="shared" si="279"/>
        <v>0</v>
      </c>
      <c r="M292" s="50">
        <f t="shared" si="279"/>
        <v>0</v>
      </c>
      <c r="N292" s="50">
        <f t="shared" si="279"/>
        <v>0</v>
      </c>
      <c r="O292" s="50">
        <f t="shared" si="279"/>
        <v>0</v>
      </c>
      <c r="P292" s="50">
        <f t="shared" si="279"/>
        <v>0</v>
      </c>
      <c r="Q292" s="50">
        <f t="shared" si="279"/>
        <v>0</v>
      </c>
      <c r="R292" s="50">
        <f t="shared" si="279"/>
        <v>0</v>
      </c>
      <c r="S292" s="50">
        <f t="shared" si="279"/>
        <v>0</v>
      </c>
      <c r="T292" s="50">
        <f t="shared" si="279"/>
        <v>0</v>
      </c>
      <c r="U292" s="50">
        <f t="shared" si="279"/>
        <v>0</v>
      </c>
      <c r="V292" s="50">
        <f t="shared" si="279"/>
        <v>0</v>
      </c>
      <c r="W292" s="50">
        <f t="shared" si="279"/>
        <v>0</v>
      </c>
      <c r="X292" s="50">
        <f t="shared" si="279"/>
        <v>25</v>
      </c>
      <c r="Y292" s="50">
        <f t="shared" si="279"/>
        <v>20</v>
      </c>
      <c r="Z292" s="50">
        <f t="shared" si="279"/>
        <v>21</v>
      </c>
      <c r="AA292" s="50">
        <f t="shared" si="279"/>
        <v>41</v>
      </c>
      <c r="AB292" s="50">
        <f t="shared" si="279"/>
        <v>56</v>
      </c>
      <c r="AC292" s="50">
        <f t="shared" si="279"/>
        <v>64</v>
      </c>
      <c r="AD292" s="50">
        <f t="shared" si="279"/>
        <v>87</v>
      </c>
      <c r="AE292" s="50">
        <f t="shared" si="279"/>
        <v>54</v>
      </c>
      <c r="AF292" s="50">
        <f t="shared" si="279"/>
        <v>76</v>
      </c>
      <c r="AG292" s="50">
        <f t="shared" si="279"/>
        <v>77</v>
      </c>
      <c r="AH292" s="50">
        <f t="shared" si="279"/>
        <v>79</v>
      </c>
      <c r="AI292" s="50">
        <f t="shared" si="279"/>
        <v>64</v>
      </c>
      <c r="AJ292" s="50">
        <f t="shared" si="279"/>
        <v>79</v>
      </c>
      <c r="AK292" s="50">
        <f t="shared" si="279"/>
        <v>82</v>
      </c>
      <c r="AL292" s="50">
        <f t="shared" si="279"/>
        <v>71</v>
      </c>
      <c r="AM292" s="50">
        <f t="shared" si="279"/>
        <v>96</v>
      </c>
      <c r="AN292" s="50">
        <f t="shared" ref="AN292:AT292" si="280">AN115+AN143+AN185+AN209+AN282</f>
        <v>88</v>
      </c>
      <c r="AO292" s="50">
        <f t="shared" si="280"/>
        <v>80</v>
      </c>
      <c r="AP292" s="50">
        <f t="shared" si="280"/>
        <v>87</v>
      </c>
      <c r="AQ292" s="50">
        <f t="shared" si="280"/>
        <v>116</v>
      </c>
      <c r="AR292" s="50">
        <f t="shared" si="280"/>
        <v>123</v>
      </c>
      <c r="AS292" s="50">
        <f t="shared" si="280"/>
        <v>121</v>
      </c>
      <c r="AT292" s="50">
        <f>AT115+AT143+AT185+AT209+AT282+AT239</f>
        <v>122</v>
      </c>
      <c r="AU292" s="50"/>
      <c r="AV292" s="8">
        <f t="shared" si="273"/>
        <v>122</v>
      </c>
      <c r="AW292" s="8">
        <f t="shared" si="274"/>
        <v>113.8</v>
      </c>
      <c r="AX292" s="8">
        <f t="shared" si="277"/>
        <v>98.6</v>
      </c>
      <c r="AY292" s="8"/>
      <c r="AZ292" s="47">
        <f t="shared" si="278"/>
        <v>0.23732251521298181</v>
      </c>
      <c r="BA292" s="15"/>
    </row>
    <row r="293" spans="2:53" ht="11.25" customHeight="1">
      <c r="B293" s="5" t="s">
        <v>68</v>
      </c>
      <c r="C293" s="5"/>
      <c r="D293" s="49" t="s">
        <v>123</v>
      </c>
      <c r="E293" s="50">
        <f t="shared" ref="E293:AM293" si="281">E222</f>
        <v>0</v>
      </c>
      <c r="F293" s="50">
        <f t="shared" si="281"/>
        <v>0</v>
      </c>
      <c r="G293" s="50">
        <f t="shared" si="281"/>
        <v>0</v>
      </c>
      <c r="H293" s="50">
        <f t="shared" si="281"/>
        <v>0</v>
      </c>
      <c r="I293" s="50" t="str">
        <f t="shared" si="281"/>
        <v>-</v>
      </c>
      <c r="J293" s="50" t="str">
        <f t="shared" si="281"/>
        <v>-</v>
      </c>
      <c r="K293" s="50">
        <f t="shared" si="281"/>
        <v>31</v>
      </c>
      <c r="L293" s="50">
        <f t="shared" si="281"/>
        <v>25</v>
      </c>
      <c r="M293" s="50">
        <f t="shared" si="281"/>
        <v>30</v>
      </c>
      <c r="N293" s="50">
        <f t="shared" si="281"/>
        <v>28</v>
      </c>
      <c r="O293" s="50">
        <f t="shared" si="281"/>
        <v>30</v>
      </c>
      <c r="P293" s="50">
        <f t="shared" si="281"/>
        <v>42</v>
      </c>
      <c r="Q293" s="50">
        <f t="shared" si="281"/>
        <v>41</v>
      </c>
      <c r="R293" s="50">
        <f t="shared" si="281"/>
        <v>37</v>
      </c>
      <c r="S293" s="50">
        <f t="shared" si="281"/>
        <v>39</v>
      </c>
      <c r="T293" s="50">
        <f t="shared" si="281"/>
        <v>40</v>
      </c>
      <c r="U293" s="50">
        <f t="shared" si="281"/>
        <v>39</v>
      </c>
      <c r="V293" s="50">
        <f t="shared" si="281"/>
        <v>35</v>
      </c>
      <c r="W293" s="50">
        <f t="shared" si="281"/>
        <v>41</v>
      </c>
      <c r="X293" s="50">
        <f t="shared" si="281"/>
        <v>37</v>
      </c>
      <c r="Y293" s="50">
        <f t="shared" si="281"/>
        <v>38</v>
      </c>
      <c r="Z293" s="50">
        <f t="shared" si="281"/>
        <v>43</v>
      </c>
      <c r="AA293" s="50">
        <f t="shared" si="281"/>
        <v>44</v>
      </c>
      <c r="AB293" s="50">
        <f t="shared" si="281"/>
        <v>45</v>
      </c>
      <c r="AC293" s="50">
        <f t="shared" si="281"/>
        <v>42</v>
      </c>
      <c r="AD293" s="50">
        <f t="shared" si="281"/>
        <v>39</v>
      </c>
      <c r="AE293" s="50">
        <f t="shared" si="281"/>
        <v>35</v>
      </c>
      <c r="AF293" s="50">
        <f t="shared" si="281"/>
        <v>46</v>
      </c>
      <c r="AG293" s="50">
        <f t="shared" si="281"/>
        <v>34</v>
      </c>
      <c r="AH293" s="50">
        <f t="shared" si="281"/>
        <v>44</v>
      </c>
      <c r="AI293" s="50">
        <f t="shared" si="281"/>
        <v>38</v>
      </c>
      <c r="AJ293" s="50">
        <f t="shared" si="281"/>
        <v>44</v>
      </c>
      <c r="AK293" s="50">
        <f t="shared" si="281"/>
        <v>41</v>
      </c>
      <c r="AL293" s="50">
        <f t="shared" si="281"/>
        <v>44</v>
      </c>
      <c r="AM293" s="50">
        <f t="shared" si="281"/>
        <v>47</v>
      </c>
      <c r="AN293" s="50">
        <f t="shared" ref="AN293:AS293" si="282">AN222</f>
        <v>40</v>
      </c>
      <c r="AO293" s="50">
        <f t="shared" si="282"/>
        <v>39</v>
      </c>
      <c r="AP293" s="50">
        <f t="shared" si="282"/>
        <v>41</v>
      </c>
      <c r="AQ293" s="50">
        <f t="shared" si="282"/>
        <v>45</v>
      </c>
      <c r="AR293" s="50">
        <f t="shared" si="282"/>
        <v>43</v>
      </c>
      <c r="AS293" s="50">
        <f t="shared" si="282"/>
        <v>39</v>
      </c>
      <c r="AT293" s="50">
        <f>AT222</f>
        <v>39</v>
      </c>
      <c r="AU293" s="50"/>
      <c r="AV293" s="8">
        <f t="shared" si="273"/>
        <v>40.333333333333336</v>
      </c>
      <c r="AW293" s="8">
        <f t="shared" si="274"/>
        <v>41.4</v>
      </c>
      <c r="AX293" s="8">
        <f t="shared" si="277"/>
        <v>41.8</v>
      </c>
      <c r="AY293" s="8"/>
      <c r="AZ293" s="47">
        <f t="shared" si="278"/>
        <v>-6.6985645933014287E-2</v>
      </c>
      <c r="BA293" s="15"/>
    </row>
    <row r="294" spans="2:53" ht="11.25" customHeight="1">
      <c r="B294" s="5"/>
      <c r="C294" s="5"/>
      <c r="D294" s="49" t="s">
        <v>3</v>
      </c>
      <c r="E294" s="50">
        <f t="shared" ref="E294:AM294" si="283">E116+E144+E186+E210+E240+E283+E223</f>
        <v>320</v>
      </c>
      <c r="F294" s="50">
        <f t="shared" si="283"/>
        <v>369</v>
      </c>
      <c r="G294" s="50">
        <f t="shared" si="283"/>
        <v>375</v>
      </c>
      <c r="H294" s="50">
        <f t="shared" si="283"/>
        <v>359</v>
      </c>
      <c r="I294" s="50">
        <f t="shared" si="283"/>
        <v>356</v>
      </c>
      <c r="J294" s="50">
        <f t="shared" si="283"/>
        <v>344</v>
      </c>
      <c r="K294" s="50">
        <f t="shared" si="283"/>
        <v>289</v>
      </c>
      <c r="L294" s="50">
        <f t="shared" si="283"/>
        <v>356</v>
      </c>
      <c r="M294" s="50">
        <f t="shared" si="283"/>
        <v>311</v>
      </c>
      <c r="N294" s="50">
        <f t="shared" si="283"/>
        <v>352</v>
      </c>
      <c r="O294" s="50">
        <f t="shared" si="283"/>
        <v>338</v>
      </c>
      <c r="P294" s="50">
        <f t="shared" si="283"/>
        <v>445</v>
      </c>
      <c r="Q294" s="50">
        <f t="shared" si="283"/>
        <v>380</v>
      </c>
      <c r="R294" s="50">
        <f t="shared" si="283"/>
        <v>446</v>
      </c>
      <c r="S294" s="50">
        <f t="shared" si="283"/>
        <v>481</v>
      </c>
      <c r="T294" s="50">
        <f t="shared" si="283"/>
        <v>470</v>
      </c>
      <c r="U294" s="50">
        <f t="shared" si="283"/>
        <v>556</v>
      </c>
      <c r="V294" s="50">
        <f t="shared" si="283"/>
        <v>524</v>
      </c>
      <c r="W294" s="50">
        <f t="shared" si="283"/>
        <v>596</v>
      </c>
      <c r="X294" s="50">
        <f t="shared" si="283"/>
        <v>646</v>
      </c>
      <c r="Y294" s="50">
        <f t="shared" si="283"/>
        <v>543</v>
      </c>
      <c r="Z294" s="50">
        <f t="shared" si="283"/>
        <v>590</v>
      </c>
      <c r="AA294" s="50">
        <f t="shared" si="283"/>
        <v>507</v>
      </c>
      <c r="AB294" s="50">
        <f t="shared" si="283"/>
        <v>545</v>
      </c>
      <c r="AC294" s="50">
        <f t="shared" si="283"/>
        <v>637</v>
      </c>
      <c r="AD294" s="50">
        <f t="shared" si="283"/>
        <v>622</v>
      </c>
      <c r="AE294" s="50">
        <f t="shared" si="283"/>
        <v>675</v>
      </c>
      <c r="AF294" s="50">
        <f t="shared" si="283"/>
        <v>786</v>
      </c>
      <c r="AG294" s="50">
        <f t="shared" si="283"/>
        <v>730</v>
      </c>
      <c r="AH294" s="50">
        <f t="shared" si="283"/>
        <v>718</v>
      </c>
      <c r="AI294" s="50">
        <f t="shared" si="283"/>
        <v>729</v>
      </c>
      <c r="AJ294" s="50">
        <f t="shared" si="283"/>
        <v>771</v>
      </c>
      <c r="AK294" s="50">
        <f t="shared" si="283"/>
        <v>771</v>
      </c>
      <c r="AL294" s="50">
        <f t="shared" si="283"/>
        <v>868</v>
      </c>
      <c r="AM294" s="50">
        <f t="shared" si="283"/>
        <v>872</v>
      </c>
      <c r="AN294" s="50">
        <f t="shared" ref="AN294:AS294" si="284">AN116+AN144+AN186+AN210+AN240+AN283+AN223</f>
        <v>871</v>
      </c>
      <c r="AO294" s="50">
        <f t="shared" si="284"/>
        <v>854</v>
      </c>
      <c r="AP294" s="50">
        <f t="shared" si="284"/>
        <v>761</v>
      </c>
      <c r="AQ294" s="50">
        <f t="shared" si="284"/>
        <v>810</v>
      </c>
      <c r="AR294" s="50">
        <f t="shared" si="284"/>
        <v>826</v>
      </c>
      <c r="AS294" s="50">
        <f t="shared" si="284"/>
        <v>819</v>
      </c>
      <c r="AT294" s="50">
        <f>AT116+AT144+AT186+AT210+AT240+AT283+AT223</f>
        <v>728</v>
      </c>
      <c r="AU294" s="50"/>
      <c r="AV294" s="8">
        <f t="shared" si="273"/>
        <v>791</v>
      </c>
      <c r="AW294" s="8">
        <f t="shared" si="274"/>
        <v>788.8</v>
      </c>
      <c r="AX294" s="8">
        <f t="shared" si="277"/>
        <v>818</v>
      </c>
      <c r="AY294" s="8"/>
      <c r="AZ294" s="47">
        <f t="shared" si="278"/>
        <v>-0.1100244498777506</v>
      </c>
      <c r="BA294" s="15"/>
    </row>
    <row r="295" spans="2:53" ht="11.25" customHeight="1">
      <c r="B295" s="5"/>
      <c r="C295" s="5"/>
      <c r="D295" s="5" t="s">
        <v>126</v>
      </c>
      <c r="E295" s="50">
        <f t="shared" ref="E295:AM295" si="285">E187</f>
        <v>0</v>
      </c>
      <c r="F295" s="50">
        <f t="shared" si="285"/>
        <v>0</v>
      </c>
      <c r="G295" s="50">
        <f t="shared" si="285"/>
        <v>0</v>
      </c>
      <c r="H295" s="50">
        <f t="shared" si="285"/>
        <v>0</v>
      </c>
      <c r="I295" s="50">
        <f t="shared" si="285"/>
        <v>0</v>
      </c>
      <c r="J295" s="50">
        <f t="shared" si="285"/>
        <v>0</v>
      </c>
      <c r="K295" s="50">
        <f t="shared" si="285"/>
        <v>0</v>
      </c>
      <c r="L295" s="50" t="str">
        <f t="shared" si="285"/>
        <v>-</v>
      </c>
      <c r="M295" s="50" t="str">
        <f t="shared" si="285"/>
        <v>-</v>
      </c>
      <c r="N295" s="50" t="str">
        <f t="shared" si="285"/>
        <v>-</v>
      </c>
      <c r="O295" s="50" t="str">
        <f t="shared" si="285"/>
        <v>-</v>
      </c>
      <c r="P295" s="50" t="str">
        <f t="shared" si="285"/>
        <v>-</v>
      </c>
      <c r="Q295" s="50" t="str">
        <f t="shared" si="285"/>
        <v>-</v>
      </c>
      <c r="R295" s="50" t="str">
        <f t="shared" si="285"/>
        <v>-</v>
      </c>
      <c r="S295" s="50" t="str">
        <f t="shared" si="285"/>
        <v>-</v>
      </c>
      <c r="T295" s="50" t="str">
        <f t="shared" si="285"/>
        <v>-</v>
      </c>
      <c r="U295" s="50" t="str">
        <f t="shared" si="285"/>
        <v>-</v>
      </c>
      <c r="V295" s="50" t="str">
        <f t="shared" si="285"/>
        <v>-</v>
      </c>
      <c r="W295" s="50">
        <f t="shared" si="285"/>
        <v>0</v>
      </c>
      <c r="X295" s="50">
        <f t="shared" si="285"/>
        <v>0</v>
      </c>
      <c r="Y295" s="50">
        <f t="shared" si="285"/>
        <v>0</v>
      </c>
      <c r="Z295" s="50">
        <f t="shared" si="285"/>
        <v>0</v>
      </c>
      <c r="AA295" s="50">
        <f t="shared" si="285"/>
        <v>0</v>
      </c>
      <c r="AB295" s="50">
        <f t="shared" si="285"/>
        <v>0</v>
      </c>
      <c r="AC295" s="50">
        <f t="shared" si="285"/>
        <v>0</v>
      </c>
      <c r="AD295" s="50">
        <f t="shared" si="285"/>
        <v>0</v>
      </c>
      <c r="AE295" s="50">
        <f t="shared" si="285"/>
        <v>0</v>
      </c>
      <c r="AF295" s="50">
        <f t="shared" si="285"/>
        <v>3</v>
      </c>
      <c r="AG295" s="50">
        <f t="shared" si="285"/>
        <v>29</v>
      </c>
      <c r="AH295" s="50">
        <f t="shared" si="285"/>
        <v>31</v>
      </c>
      <c r="AI295" s="50">
        <f t="shared" si="285"/>
        <v>28</v>
      </c>
      <c r="AJ295" s="50">
        <f t="shared" si="285"/>
        <v>42</v>
      </c>
      <c r="AK295" s="50">
        <f t="shared" si="285"/>
        <v>31</v>
      </c>
      <c r="AL295" s="50">
        <f t="shared" si="285"/>
        <v>22</v>
      </c>
      <c r="AM295" s="50">
        <f t="shared" si="285"/>
        <v>26</v>
      </c>
      <c r="AN295" s="50">
        <f t="shared" ref="AN295:AS295" si="286">AN187</f>
        <v>28</v>
      </c>
      <c r="AO295" s="50">
        <f t="shared" si="286"/>
        <v>13</v>
      </c>
      <c r="AP295" s="50">
        <f t="shared" si="286"/>
        <v>14</v>
      </c>
      <c r="AQ295" s="50">
        <f t="shared" si="286"/>
        <v>17</v>
      </c>
      <c r="AR295" s="50">
        <f t="shared" si="286"/>
        <v>17</v>
      </c>
      <c r="AS295" s="50">
        <f t="shared" si="286"/>
        <v>9</v>
      </c>
      <c r="AT295" s="50">
        <f>AT187</f>
        <v>23</v>
      </c>
      <c r="AU295" s="50"/>
      <c r="AV295" s="8">
        <f t="shared" si="273"/>
        <v>16.333333333333332</v>
      </c>
      <c r="AW295" s="8">
        <f t="shared" si="274"/>
        <v>16</v>
      </c>
      <c r="AX295" s="8">
        <f t="shared" si="277"/>
        <v>20</v>
      </c>
      <c r="AY295" s="8"/>
      <c r="AZ295" s="47">
        <f t="shared" si="278"/>
        <v>0.15</v>
      </c>
      <c r="BA295" s="15"/>
    </row>
    <row r="296" spans="2:53" ht="11.25" customHeight="1">
      <c r="B296" s="5"/>
      <c r="C296" s="5"/>
      <c r="D296" s="49" t="s">
        <v>4</v>
      </c>
      <c r="E296" s="50">
        <f t="shared" ref="E296:AM296" si="287">E117+E145+E188+E211+E224</f>
        <v>3</v>
      </c>
      <c r="F296" s="50">
        <f t="shared" si="287"/>
        <v>8</v>
      </c>
      <c r="G296" s="50">
        <f t="shared" si="287"/>
        <v>7</v>
      </c>
      <c r="H296" s="50">
        <f t="shared" si="287"/>
        <v>10</v>
      </c>
      <c r="I296" s="50">
        <f t="shared" si="287"/>
        <v>7</v>
      </c>
      <c r="J296" s="50">
        <f t="shared" si="287"/>
        <v>9</v>
      </c>
      <c r="K296" s="50">
        <f t="shared" si="287"/>
        <v>14</v>
      </c>
      <c r="L296" s="50">
        <f t="shared" si="287"/>
        <v>12</v>
      </c>
      <c r="M296" s="50">
        <f t="shared" si="287"/>
        <v>15</v>
      </c>
      <c r="N296" s="50">
        <f t="shared" si="287"/>
        <v>13</v>
      </c>
      <c r="O296" s="50">
        <f t="shared" si="287"/>
        <v>19</v>
      </c>
      <c r="P296" s="50">
        <f t="shared" si="287"/>
        <v>18</v>
      </c>
      <c r="Q296" s="50">
        <f t="shared" si="287"/>
        <v>23</v>
      </c>
      <c r="R296" s="50">
        <f t="shared" si="287"/>
        <v>28</v>
      </c>
      <c r="S296" s="50">
        <f t="shared" si="287"/>
        <v>25</v>
      </c>
      <c r="T296" s="50">
        <f t="shared" si="287"/>
        <v>19</v>
      </c>
      <c r="U296" s="50">
        <f t="shared" si="287"/>
        <v>16</v>
      </c>
      <c r="V296" s="50">
        <f t="shared" si="287"/>
        <v>24</v>
      </c>
      <c r="W296" s="50">
        <f t="shared" si="287"/>
        <v>25</v>
      </c>
      <c r="X296" s="50">
        <f t="shared" si="287"/>
        <v>29</v>
      </c>
      <c r="Y296" s="50">
        <f t="shared" si="287"/>
        <v>34</v>
      </c>
      <c r="Z296" s="50">
        <f t="shared" si="287"/>
        <v>30</v>
      </c>
      <c r="AA296" s="50">
        <f t="shared" si="287"/>
        <v>38</v>
      </c>
      <c r="AB296" s="50">
        <f t="shared" si="287"/>
        <v>28</v>
      </c>
      <c r="AC296" s="50">
        <f t="shared" si="287"/>
        <v>40</v>
      </c>
      <c r="AD296" s="50">
        <f t="shared" si="287"/>
        <v>45</v>
      </c>
      <c r="AE296" s="50">
        <f t="shared" si="287"/>
        <v>34</v>
      </c>
      <c r="AF296" s="50">
        <f t="shared" si="287"/>
        <v>51</v>
      </c>
      <c r="AG296" s="50">
        <f t="shared" si="287"/>
        <v>58</v>
      </c>
      <c r="AH296" s="50">
        <f t="shared" si="287"/>
        <v>52</v>
      </c>
      <c r="AI296" s="50">
        <f t="shared" si="287"/>
        <v>62</v>
      </c>
      <c r="AJ296" s="50">
        <f t="shared" si="287"/>
        <v>63</v>
      </c>
      <c r="AK296" s="50">
        <f t="shared" si="287"/>
        <v>63</v>
      </c>
      <c r="AL296" s="50">
        <f t="shared" si="287"/>
        <v>50</v>
      </c>
      <c r="AM296" s="50">
        <f t="shared" si="287"/>
        <v>74</v>
      </c>
      <c r="AN296" s="50">
        <f>AN117+AN145+AN188+AN211+AN224</f>
        <v>61</v>
      </c>
      <c r="AO296" s="50">
        <f>AO117+AO145+AO188+AO211+AO224</f>
        <v>64</v>
      </c>
      <c r="AP296" s="50">
        <f>AP117+AP145+AP188+AP211+AP224</f>
        <v>84</v>
      </c>
      <c r="AQ296" s="50">
        <f t="shared" ref="AQ296:AS296" si="288">AQ117+AQ145+AQ188+AQ211</f>
        <v>75</v>
      </c>
      <c r="AR296" s="50">
        <f t="shared" si="288"/>
        <v>106</v>
      </c>
      <c r="AS296" s="50">
        <f t="shared" si="288"/>
        <v>87</v>
      </c>
      <c r="AT296" s="50">
        <f>AT117+AT145+AT188+AT211</f>
        <v>92</v>
      </c>
      <c r="AU296" s="50"/>
      <c r="AV296" s="8">
        <f t="shared" si="273"/>
        <v>95</v>
      </c>
      <c r="AW296" s="8">
        <f t="shared" si="274"/>
        <v>88.8</v>
      </c>
      <c r="AX296" s="8">
        <f t="shared" si="277"/>
        <v>75.599999999999994</v>
      </c>
      <c r="AY296" s="8"/>
      <c r="AZ296" s="47">
        <f t="shared" si="278"/>
        <v>0.21693121693121703</v>
      </c>
      <c r="BA296" s="15"/>
    </row>
    <row r="297" spans="2:53" ht="11.25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10"/>
      <c r="AW297" s="10"/>
      <c r="AX297" s="10"/>
      <c r="AY297" s="15"/>
      <c r="AZ297" s="15"/>
      <c r="BA297" s="15"/>
    </row>
    <row r="298" spans="2:53" ht="11.25" customHeight="1">
      <c r="B298" s="5"/>
      <c r="C298" s="5"/>
      <c r="D298" s="5" t="s">
        <v>54</v>
      </c>
      <c r="E298" s="50">
        <f t="shared" ref="E298:AM298" si="289">SUM(E290:E296)</f>
        <v>1645</v>
      </c>
      <c r="F298" s="50">
        <f t="shared" si="289"/>
        <v>1612</v>
      </c>
      <c r="G298" s="50">
        <f t="shared" si="289"/>
        <v>1584</v>
      </c>
      <c r="H298" s="50">
        <f t="shared" si="289"/>
        <v>1570</v>
      </c>
      <c r="I298" s="50">
        <f t="shared" si="289"/>
        <v>1580</v>
      </c>
      <c r="J298" s="50">
        <f t="shared" si="289"/>
        <v>1531</v>
      </c>
      <c r="K298" s="50">
        <f t="shared" si="289"/>
        <v>1451</v>
      </c>
      <c r="L298" s="50">
        <f t="shared" si="289"/>
        <v>1541</v>
      </c>
      <c r="M298" s="50">
        <f t="shared" si="289"/>
        <v>1555</v>
      </c>
      <c r="N298" s="50">
        <f t="shared" si="289"/>
        <v>1611</v>
      </c>
      <c r="O298" s="50">
        <f t="shared" si="289"/>
        <v>1730</v>
      </c>
      <c r="P298" s="50">
        <f t="shared" si="289"/>
        <v>1981</v>
      </c>
      <c r="Q298" s="50">
        <f t="shared" si="289"/>
        <v>1998</v>
      </c>
      <c r="R298" s="50">
        <f t="shared" si="289"/>
        <v>2103</v>
      </c>
      <c r="S298" s="50">
        <f t="shared" si="289"/>
        <v>2153</v>
      </c>
      <c r="T298" s="50">
        <f t="shared" si="289"/>
        <v>2135</v>
      </c>
      <c r="U298" s="50">
        <f t="shared" si="289"/>
        <v>2301</v>
      </c>
      <c r="V298" s="50">
        <f t="shared" si="289"/>
        <v>2184</v>
      </c>
      <c r="W298" s="50">
        <f t="shared" si="289"/>
        <v>2175</v>
      </c>
      <c r="X298" s="50">
        <f t="shared" si="289"/>
        <v>2322</v>
      </c>
      <c r="Y298" s="50">
        <f t="shared" si="289"/>
        <v>2203</v>
      </c>
      <c r="Z298" s="50">
        <f t="shared" si="289"/>
        <v>2314</v>
      </c>
      <c r="AA298" s="50">
        <f t="shared" si="289"/>
        <v>2245</v>
      </c>
      <c r="AB298" s="50">
        <f t="shared" si="289"/>
        <v>2369</v>
      </c>
      <c r="AC298" s="50">
        <f t="shared" si="289"/>
        <v>2645</v>
      </c>
      <c r="AD298" s="50">
        <f t="shared" si="289"/>
        <v>2660</v>
      </c>
      <c r="AE298" s="50">
        <f t="shared" si="289"/>
        <v>2731</v>
      </c>
      <c r="AF298" s="50">
        <f t="shared" si="289"/>
        <v>2885</v>
      </c>
      <c r="AG298" s="50">
        <f t="shared" si="289"/>
        <v>2853</v>
      </c>
      <c r="AH298" s="50">
        <f t="shared" si="289"/>
        <v>3015</v>
      </c>
      <c r="AI298" s="50">
        <f t="shared" si="289"/>
        <v>2937</v>
      </c>
      <c r="AJ298" s="50">
        <f t="shared" si="289"/>
        <v>3017</v>
      </c>
      <c r="AK298" s="50">
        <f t="shared" si="289"/>
        <v>2999</v>
      </c>
      <c r="AL298" s="50">
        <f t="shared" si="289"/>
        <v>3147</v>
      </c>
      <c r="AM298" s="50">
        <f t="shared" si="289"/>
        <v>3078</v>
      </c>
      <c r="AN298" s="50">
        <f t="shared" ref="AN298:AS298" si="290">SUM(AN290:AN296)</f>
        <v>3064</v>
      </c>
      <c r="AO298" s="50">
        <f t="shared" si="290"/>
        <v>3090</v>
      </c>
      <c r="AP298" s="50">
        <f t="shared" si="290"/>
        <v>3267</v>
      </c>
      <c r="AQ298" s="50">
        <f t="shared" si="290"/>
        <v>3344</v>
      </c>
      <c r="AR298" s="50">
        <f t="shared" si="290"/>
        <v>3223</v>
      </c>
      <c r="AS298" s="50">
        <f t="shared" si="290"/>
        <v>3098</v>
      </c>
      <c r="AT298" s="50">
        <f t="shared" ref="AT298" si="291">SUM(AT290:AT296)</f>
        <v>2993</v>
      </c>
      <c r="AU298" s="50"/>
      <c r="AV298" s="8">
        <f>IF(SUM(AR298:AT298)&gt;=0,AVERAGE(AR298:AT298),"")</f>
        <v>3104.6666666666665</v>
      </c>
      <c r="AW298" s="8">
        <f>IF(SUM(AP298:AT298)&gt;=0,AVERAGE(AP298:AT298),"")</f>
        <v>3185</v>
      </c>
      <c r="AX298" s="8">
        <f t="shared" ref="AX298" si="292">IF(SUM(AK298:AT298)&gt;=0,AVERAGE(AK298:AT298),"")</f>
        <v>3130.3</v>
      </c>
      <c r="AY298" s="8"/>
      <c r="AZ298" s="47">
        <f t="shared" ref="AZ298" si="293">(AT298-AX298)/AX298</f>
        <v>-4.386161070823888E-2</v>
      </c>
      <c r="BA298" s="15"/>
    </row>
    <row r="299" spans="2:53" ht="11.25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0" t="str">
        <f>IF(AA299&gt;0,IF(AA299&gt;9,(AA299-Z299)/Z299,"&lt;10 cases"),"")</f>
        <v/>
      </c>
      <c r="AW299" s="10" t="str">
        <f>IF(AA299&gt;0,IF(AA299&gt;9,(AA299-(SUM(V299:Z299)/5))/AA299,"&lt;10 cases"),"")</f>
        <v/>
      </c>
      <c r="AX299" s="10" t="str">
        <f>IF(AA299&gt;0,IF(AA299&gt;9,(AA299-SUM(Q299:Z299)/10)/AA299,"&lt;10 cases"),"")</f>
        <v/>
      </c>
      <c r="AY299" s="10" t="str">
        <f>IF(AB299&gt;0,IF(AB299&gt;9,(AB299-SUM(R299:AA299)/10)/AB299,"&lt;10 cases"),"")</f>
        <v/>
      </c>
      <c r="AZ299" s="10" t="str">
        <f>IF(AC299&gt;0,IF(AC299&gt;9,(AC299-SUM(S299:AB299)/10)/AC299,"&lt;10 cases"),"")</f>
        <v/>
      </c>
      <c r="BA299" s="10" t="str">
        <f>IF(AD299&gt;0,IF(AD299&gt;9,(AD299-SUM(T299:AC299)/10)/AD299,"&lt;10 cases"),"")</f>
        <v/>
      </c>
    </row>
    <row r="300" spans="2:53" ht="11.25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0"/>
      <c r="AW300" s="10"/>
      <c r="AX300" s="10"/>
      <c r="AY300" s="15"/>
      <c r="AZ300" s="15"/>
      <c r="BA300" s="15"/>
    </row>
    <row r="301" spans="2:53" ht="11.25" customHeight="1">
      <c r="B301" s="5" t="s">
        <v>113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0"/>
      <c r="AW301" s="10"/>
      <c r="AX301" s="10"/>
      <c r="AY301" s="15"/>
      <c r="AZ301" s="15"/>
      <c r="BA301" s="15"/>
    </row>
    <row r="302" spans="2:53" ht="11.25" customHeight="1">
      <c r="B302" s="5" t="s">
        <v>114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0"/>
      <c r="AW302" s="10"/>
      <c r="AX302" s="10"/>
      <c r="AY302" s="15"/>
      <c r="AZ302" s="15"/>
      <c r="BA302" s="15"/>
    </row>
    <row r="303" spans="2:53" ht="11.25" customHeight="1">
      <c r="B303" s="5" t="s">
        <v>116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0"/>
      <c r="AW303" s="10"/>
      <c r="AX303" s="10"/>
      <c r="AY303" s="15"/>
      <c r="AZ303" s="15"/>
      <c r="BA303" s="15"/>
    </row>
    <row r="304" spans="2:53" ht="11.25" customHeight="1">
      <c r="B304" s="5" t="s">
        <v>117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0"/>
      <c r="AW304" s="10"/>
      <c r="AX304" s="10"/>
      <c r="AY304" s="15"/>
      <c r="AZ304" s="15"/>
      <c r="BA304" s="15"/>
    </row>
    <row r="305" spans="2:53" ht="11.25" customHeight="1">
      <c r="B305" s="5" t="s">
        <v>198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0"/>
      <c r="AW305" s="10"/>
      <c r="AX305" s="10"/>
      <c r="AY305" s="15"/>
      <c r="AZ305" s="15"/>
      <c r="BA305" s="15"/>
    </row>
    <row r="306" spans="2:53" ht="11.25" customHeight="1">
      <c r="B306" s="5" t="s">
        <v>199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0"/>
      <c r="AW306" s="10"/>
      <c r="AX306" s="10"/>
      <c r="AY306" s="15"/>
      <c r="AZ306" s="15"/>
      <c r="BA306" s="15"/>
    </row>
    <row r="307" spans="2:53" ht="11.25" customHeight="1">
      <c r="B307" s="5" t="s">
        <v>192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0"/>
      <c r="AW307" s="10"/>
      <c r="AX307" s="10"/>
      <c r="AY307" s="15"/>
      <c r="AZ307" s="15"/>
      <c r="BA307" s="15"/>
    </row>
    <row r="308" spans="2:53" ht="11.25" customHeight="1">
      <c r="B308" s="5" t="s">
        <v>252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0"/>
      <c r="AW308" s="10"/>
      <c r="AX308" s="10"/>
      <c r="AY308" s="15"/>
      <c r="AZ308" s="15"/>
      <c r="BA308" s="15"/>
    </row>
    <row r="309" spans="2:53" ht="11.25" customHeight="1">
      <c r="B309" s="5" t="s">
        <v>193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0"/>
      <c r="AW309" s="10"/>
      <c r="AX309" s="10"/>
      <c r="AY309" s="15"/>
      <c r="AZ309" s="15"/>
      <c r="BA309" s="15"/>
    </row>
    <row r="310" spans="2:53" ht="11.25" customHeight="1">
      <c r="B310" s="5" t="s">
        <v>203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0" t="str">
        <f>IF(AA310&gt;0,IF(AA310&gt;9,(AA310-Z310)/Z310,"&lt;10 cases"),"")</f>
        <v/>
      </c>
      <c r="AW310" s="10" t="str">
        <f>IF(AA310&gt;0,IF(AA310&gt;9,(AA310-(SUM(V310:Z310)/5))/AA310,"&lt;10 cases"),"")</f>
        <v/>
      </c>
      <c r="AX310" s="10" t="str">
        <f>IF(AA310&gt;0,IF(AA310&gt;9,(AA310-SUM(Q310:Z310)/10)/AA310,"&lt;10 cases"),"")</f>
        <v/>
      </c>
      <c r="AY310" s="15"/>
      <c r="AZ310" s="15"/>
      <c r="BA310" s="15"/>
    </row>
    <row r="311" spans="2:53" ht="11.25" customHeight="1">
      <c r="B311" s="5" t="s">
        <v>200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0" t="str">
        <f>IF(AA311&gt;0,IF(AA311&gt;9,(AA311-Z311)/Z311,"&lt;10 cases"),"")</f>
        <v/>
      </c>
      <c r="AW311" s="10" t="str">
        <f>IF(AA311&gt;0,IF(AA311&gt;9,(AA311-(SUM(V311:Z311)/5))/AA311,"&lt;10 cases"),"")</f>
        <v/>
      </c>
      <c r="AX311" s="10" t="str">
        <f>IF(AA311&gt;0,IF(AA311&gt;9,(AA311-SUM(Q311:Z311)/10)/AA311,"&lt;10 cases"),"")</f>
        <v/>
      </c>
      <c r="AY311" s="15"/>
      <c r="AZ311" s="15"/>
      <c r="BA311" s="15"/>
    </row>
    <row r="312" spans="2:53" ht="11.25" customHeight="1">
      <c r="B312" s="5" t="s">
        <v>194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0" t="str">
        <f>IF(AA312&gt;0,IF(AA312&gt;9,(AA312-Z312)/Z312,"&lt;10 cases"),"")</f>
        <v/>
      </c>
      <c r="AW312" s="10" t="str">
        <f>IF(AA312&gt;0,IF(AA312&gt;9,(AA312-(SUM(V312:Z312)/5))/AA312,"&lt;10 cases"),"")</f>
        <v/>
      </c>
      <c r="AX312" s="10" t="str">
        <f>IF(AA312&gt;0,IF(AA312&gt;9,(AA312-SUM(Q312:Z312)/10)/AA312,"&lt;10 cases"),"")</f>
        <v/>
      </c>
      <c r="AY312" s="15"/>
      <c r="AZ312" s="15"/>
      <c r="BA312" s="15"/>
    </row>
    <row r="313" spans="2:53" ht="11.25" customHeight="1">
      <c r="B313" s="5" t="s">
        <v>201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0"/>
      <c r="AW313" s="10"/>
      <c r="AX313" s="10"/>
      <c r="AY313" s="15"/>
      <c r="AZ313" s="15"/>
      <c r="BA313" s="15"/>
    </row>
    <row r="314" spans="2:53" ht="11.25" customHeight="1">
      <c r="B314" s="5" t="s">
        <v>127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0" t="str">
        <f t="shared" ref="AV314:AV319" si="294">IF(AA314&gt;0,IF(AA314&gt;9,(AA314-Z314)/Z314,"&lt;10 cases"),"")</f>
        <v/>
      </c>
      <c r="AW314" s="10" t="str">
        <f t="shared" ref="AW314:AW319" si="295">IF(AA314&gt;0,IF(AA314&gt;9,(AA314-(SUM(V314:Z314)/5))/AA314,"&lt;10 cases"),"")</f>
        <v/>
      </c>
      <c r="AX314" s="10" t="str">
        <f t="shared" ref="AX314:AX319" si="296">IF(AA314&gt;0,IF(AA314&gt;9,(AA314-SUM(Q314:Z314)/10)/AA314,"&lt;10 cases"),"")</f>
        <v/>
      </c>
      <c r="AY314" s="15"/>
      <c r="AZ314" s="15"/>
      <c r="BA314" s="15"/>
    </row>
    <row r="315" spans="2:53" ht="11.25" customHeight="1">
      <c r="B315" s="5" t="s">
        <v>128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0" t="str">
        <f t="shared" si="294"/>
        <v/>
      </c>
      <c r="AW315" s="10" t="str">
        <f t="shared" si="295"/>
        <v/>
      </c>
      <c r="AX315" s="10" t="str">
        <f t="shared" si="296"/>
        <v/>
      </c>
      <c r="AY315" s="15"/>
      <c r="AZ315" s="15"/>
      <c r="BA315" s="15"/>
    </row>
    <row r="316" spans="2:53" ht="11.25" customHeight="1">
      <c r="B316" s="5" t="s">
        <v>129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0" t="str">
        <f t="shared" si="294"/>
        <v/>
      </c>
      <c r="AW316" s="10" t="str">
        <f t="shared" si="295"/>
        <v/>
      </c>
      <c r="AX316" s="10" t="str">
        <f t="shared" si="296"/>
        <v/>
      </c>
      <c r="AY316" s="15"/>
      <c r="AZ316" s="15"/>
      <c r="BA316" s="15"/>
    </row>
    <row r="317" spans="2:53" ht="11.25" customHeight="1">
      <c r="B317" s="5" t="s">
        <v>130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0" t="str">
        <f t="shared" si="294"/>
        <v/>
      </c>
      <c r="AW317" s="10" t="str">
        <f t="shared" si="295"/>
        <v/>
      </c>
      <c r="AX317" s="10" t="str">
        <f t="shared" si="296"/>
        <v/>
      </c>
      <c r="AY317" s="15"/>
      <c r="AZ317" s="15"/>
      <c r="BA317" s="15"/>
    </row>
    <row r="318" spans="2:53" ht="11.25" customHeight="1">
      <c r="B318" s="5" t="s">
        <v>131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0" t="str">
        <f t="shared" si="294"/>
        <v/>
      </c>
      <c r="AW318" s="10" t="str">
        <f t="shared" si="295"/>
        <v/>
      </c>
      <c r="AX318" s="10" t="str">
        <f t="shared" si="296"/>
        <v/>
      </c>
      <c r="AY318" s="15"/>
      <c r="AZ318" s="15"/>
      <c r="BA318" s="15"/>
    </row>
    <row r="319" spans="2:53" ht="11.25" customHeight="1">
      <c r="B319" s="5" t="s">
        <v>132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0" t="str">
        <f t="shared" si="294"/>
        <v/>
      </c>
      <c r="AW319" s="10" t="str">
        <f t="shared" si="295"/>
        <v/>
      </c>
      <c r="AX319" s="10" t="str">
        <f t="shared" si="296"/>
        <v/>
      </c>
      <c r="AY319" s="15"/>
      <c r="AZ319" s="15"/>
      <c r="BA319" s="15"/>
    </row>
    <row r="320" spans="2:53" ht="11.25" customHeight="1">
      <c r="B320" s="5" t="s">
        <v>210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0"/>
      <c r="AW320" s="10"/>
      <c r="AX320" s="10"/>
      <c r="AY320" s="15"/>
      <c r="AZ320" s="15"/>
      <c r="BA320" s="15"/>
    </row>
    <row r="321" spans="2:53" ht="11.25" customHeight="1">
      <c r="B321" s="5" t="s">
        <v>211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0"/>
      <c r="AW321" s="10"/>
      <c r="AX321" s="10"/>
      <c r="AY321" s="15"/>
      <c r="AZ321" s="15"/>
      <c r="BA321" s="15"/>
    </row>
    <row r="322" spans="2:53" ht="11.25" customHeight="1">
      <c r="B322" s="5" t="s">
        <v>195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0"/>
      <c r="AW322" s="10"/>
      <c r="AX322" s="10"/>
      <c r="AY322" s="15"/>
      <c r="AZ322" s="15"/>
      <c r="BA322" s="15"/>
    </row>
    <row r="323" spans="2:53" ht="11.25" customHeight="1">
      <c r="B323" s="5" t="s">
        <v>196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0"/>
      <c r="AW323" s="10"/>
      <c r="AX323" s="10"/>
      <c r="AY323" s="15"/>
      <c r="AZ323" s="15"/>
      <c r="BA323" s="15"/>
    </row>
    <row r="324" spans="2:53" ht="11.25" customHeight="1">
      <c r="B324" s="5" t="s">
        <v>149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0"/>
      <c r="AW324" s="10"/>
      <c r="AX324" s="10"/>
      <c r="AY324" s="15"/>
      <c r="AZ324" s="15"/>
      <c r="BA324" s="15"/>
    </row>
    <row r="325" spans="2:53" ht="11.25" customHeight="1">
      <c r="B325" s="5" t="s">
        <v>197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0"/>
      <c r="AW325" s="10"/>
      <c r="AX325" s="10"/>
      <c r="AY325" s="15"/>
      <c r="AZ325" s="15"/>
      <c r="BA325" s="15"/>
    </row>
    <row r="326" spans="2:53" ht="11.25" customHeight="1">
      <c r="B326" s="5" t="s">
        <v>154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0"/>
      <c r="AW326" s="10"/>
      <c r="AX326" s="10"/>
      <c r="AY326" s="15"/>
      <c r="AZ326" s="15"/>
      <c r="BA326" s="15"/>
    </row>
    <row r="327" spans="2:53" ht="11.25" customHeight="1">
      <c r="B327" s="5" t="s">
        <v>156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0"/>
      <c r="AW327" s="10"/>
      <c r="AX327" s="10"/>
      <c r="AY327" s="15"/>
      <c r="AZ327" s="15"/>
      <c r="BA327" s="15"/>
    </row>
    <row r="328" spans="2:53" ht="11.25" customHeight="1">
      <c r="B328" s="5" t="s">
        <v>155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0"/>
      <c r="AW328" s="10"/>
      <c r="AX328" s="10"/>
      <c r="AY328" s="15"/>
      <c r="AZ328" s="15"/>
      <c r="BA328" s="15"/>
    </row>
    <row r="329" spans="2:53" ht="11.25" customHeight="1">
      <c r="B329" s="5" t="s">
        <v>358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0"/>
      <c r="AW329" s="10"/>
      <c r="AX329" s="10"/>
      <c r="AY329" s="15"/>
      <c r="AZ329" s="15"/>
      <c r="BA329" s="15"/>
    </row>
    <row r="330" spans="2:53" ht="11.25" customHeight="1">
      <c r="B330" s="5" t="s">
        <v>207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0"/>
      <c r="AW330" s="10"/>
      <c r="AX330" s="10"/>
      <c r="AY330" s="15"/>
      <c r="AZ330" s="15"/>
      <c r="BA330" s="15"/>
    </row>
    <row r="331" spans="2:53" ht="11.25" customHeight="1">
      <c r="B331" s="5" t="s">
        <v>188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0"/>
      <c r="AW331" s="10"/>
      <c r="AX331" s="10"/>
      <c r="AY331" s="15"/>
      <c r="AZ331" s="15"/>
      <c r="BA331" s="15"/>
    </row>
    <row r="332" spans="2:53" ht="11.25" customHeight="1">
      <c r="B332" s="5" t="s">
        <v>186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0"/>
      <c r="AW332" s="10"/>
      <c r="AX332" s="10"/>
      <c r="AY332" s="15"/>
      <c r="AZ332" s="15"/>
      <c r="BA332" s="15"/>
    </row>
    <row r="333" spans="2:53" ht="11.25" customHeight="1">
      <c r="B333" s="5" t="s">
        <v>251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0"/>
      <c r="AW333" s="10"/>
      <c r="AX333" s="10"/>
      <c r="AY333" s="15"/>
      <c r="AZ333" s="15"/>
      <c r="BA333" s="15"/>
    </row>
    <row r="334" spans="2:53" ht="11.25" customHeight="1">
      <c r="B334" s="5" t="s">
        <v>250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0"/>
      <c r="AW334" s="10"/>
      <c r="AX334" s="10"/>
      <c r="AY334" s="15"/>
      <c r="AZ334" s="15"/>
      <c r="BA334" s="15"/>
    </row>
    <row r="335" spans="2:53" ht="11.25" customHeight="1">
      <c r="B335" s="5" t="s">
        <v>247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0"/>
      <c r="AW335" s="10"/>
      <c r="AX335" s="10"/>
      <c r="AY335" s="15"/>
      <c r="AZ335" s="15"/>
      <c r="BA335" s="15"/>
    </row>
    <row r="336" spans="2:53" ht="11.25" customHeight="1">
      <c r="B336" s="5" t="s">
        <v>245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0"/>
      <c r="AW336" s="10"/>
      <c r="AX336" s="10"/>
      <c r="AY336" s="15"/>
      <c r="AZ336" s="15"/>
      <c r="BA336" s="15"/>
    </row>
    <row r="337" spans="2:53" ht="11.25" customHeight="1">
      <c r="B337" s="5" t="s">
        <v>243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0"/>
      <c r="AW337" s="10"/>
      <c r="AX337" s="10"/>
      <c r="AY337" s="15"/>
      <c r="AZ337" s="15"/>
      <c r="BA337" s="15"/>
    </row>
    <row r="338" spans="2:53" ht="11.25" customHeight="1">
      <c r="B338" s="5" t="s">
        <v>240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0"/>
      <c r="AW338" s="10"/>
      <c r="AX338" s="10"/>
      <c r="AY338" s="15"/>
      <c r="AZ338" s="15"/>
      <c r="BA338" s="15"/>
    </row>
    <row r="339" spans="2:53" ht="11.25" customHeight="1">
      <c r="B339" s="5" t="s">
        <v>238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0"/>
      <c r="AW339" s="10"/>
      <c r="AX339" s="10"/>
      <c r="AY339" s="15"/>
      <c r="AZ339" s="15"/>
      <c r="BA339" s="15"/>
    </row>
    <row r="340" spans="2:53" ht="11.25" customHeight="1">
      <c r="B340" s="5" t="s">
        <v>234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0"/>
      <c r="AW340" s="10"/>
      <c r="AX340" s="10"/>
      <c r="AY340" s="15"/>
      <c r="AZ340" s="15"/>
      <c r="BA340" s="15"/>
    </row>
    <row r="341" spans="2:53" ht="11.25" customHeight="1">
      <c r="B341" s="5" t="s">
        <v>233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0"/>
      <c r="AW341" s="10"/>
      <c r="AX341" s="10"/>
      <c r="AY341" s="15"/>
      <c r="AZ341" s="15"/>
      <c r="BA341" s="15"/>
    </row>
    <row r="342" spans="2:53" ht="11.25" customHeight="1">
      <c r="B342" s="5" t="s">
        <v>231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0"/>
      <c r="AW342" s="10"/>
      <c r="AX342" s="10"/>
      <c r="AY342" s="15"/>
      <c r="AZ342" s="15"/>
      <c r="BA342" s="15"/>
    </row>
    <row r="343" spans="2:53" ht="11.25" customHeight="1">
      <c r="B343" s="5" t="s">
        <v>228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0"/>
      <c r="AW343" s="10"/>
      <c r="AX343" s="10"/>
      <c r="AY343" s="15"/>
      <c r="AZ343" s="15"/>
      <c r="BA343" s="15"/>
    </row>
    <row r="344" spans="2:53" ht="11.25" customHeight="1">
      <c r="B344" s="5" t="s">
        <v>226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0"/>
      <c r="AW344" s="10"/>
      <c r="AX344" s="10"/>
      <c r="AY344" s="15"/>
      <c r="AZ344" s="15"/>
      <c r="BA344" s="15"/>
    </row>
    <row r="345" spans="2:53" ht="11.25" customHeight="1">
      <c r="B345" s="5" t="s">
        <v>327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0"/>
      <c r="AW345" s="10"/>
      <c r="AX345" s="10"/>
      <c r="AY345" s="15"/>
      <c r="AZ345" s="15"/>
      <c r="BA345" s="15"/>
    </row>
    <row r="346" spans="2:53" ht="11.25" customHeight="1">
      <c r="B346" s="5" t="s">
        <v>224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0"/>
      <c r="AW346" s="10"/>
      <c r="AX346" s="10"/>
      <c r="AY346" s="15"/>
      <c r="AZ346" s="15"/>
      <c r="BA346" s="15"/>
    </row>
    <row r="347" spans="2:53" ht="11.25" customHeight="1">
      <c r="B347" s="5" t="s">
        <v>222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0"/>
      <c r="AW347" s="10"/>
      <c r="AX347" s="10"/>
      <c r="AY347" s="15"/>
      <c r="AZ347" s="15"/>
      <c r="BA347" s="15"/>
    </row>
    <row r="348" spans="2:53" ht="11.25" customHeight="1">
      <c r="B348" s="5" t="s">
        <v>220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0"/>
      <c r="AW348" s="10"/>
      <c r="AX348" s="10"/>
      <c r="AY348" s="15"/>
      <c r="AZ348" s="15"/>
      <c r="BA348" s="15"/>
    </row>
    <row r="349" spans="2:53" ht="11.25" customHeight="1">
      <c r="B349" s="5" t="s">
        <v>219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0"/>
      <c r="AW349" s="10"/>
      <c r="AX349" s="10"/>
      <c r="AY349" s="15"/>
      <c r="AZ349" s="15"/>
      <c r="BA349" s="15"/>
    </row>
    <row r="350" spans="2:53" ht="11.25" customHeight="1">
      <c r="B350" s="5" t="s">
        <v>217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0"/>
      <c r="AW350" s="10"/>
      <c r="AX350" s="10"/>
      <c r="AY350" s="15"/>
      <c r="AZ350" s="15"/>
      <c r="BA350" s="15"/>
    </row>
    <row r="351" spans="2:53" ht="11.25" customHeight="1">
      <c r="B351" s="5" t="s">
        <v>215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0"/>
      <c r="AW351" s="10"/>
      <c r="AX351" s="10"/>
      <c r="AY351" s="15"/>
      <c r="AZ351" s="15"/>
      <c r="BA351" s="15"/>
    </row>
    <row r="352" spans="2:53" ht="11.25" customHeight="1">
      <c r="B352" s="5" t="s">
        <v>264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0"/>
      <c r="AW352" s="10"/>
      <c r="AX352" s="10"/>
      <c r="AY352" s="15"/>
      <c r="AZ352" s="15"/>
      <c r="BA352" s="15"/>
    </row>
    <row r="353" spans="2:53" ht="11.25" customHeight="1">
      <c r="B353" s="5" t="s">
        <v>253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0"/>
      <c r="AW353" s="10"/>
      <c r="AX353" s="10"/>
      <c r="AY353" s="15"/>
      <c r="AZ353" s="15"/>
      <c r="BA353" s="15"/>
    </row>
    <row r="354" spans="2:53" ht="11.25" customHeight="1">
      <c r="B354" s="5" t="s">
        <v>255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0"/>
      <c r="AW354" s="10"/>
      <c r="AX354" s="10"/>
      <c r="AY354" s="15"/>
      <c r="AZ354" s="15"/>
      <c r="BA354" s="15"/>
    </row>
    <row r="355" spans="2:53" ht="11.25" customHeight="1">
      <c r="B355" s="5" t="s">
        <v>279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0"/>
      <c r="AW355" s="10"/>
      <c r="AX355" s="10"/>
      <c r="AY355" s="15"/>
      <c r="AZ355" s="15"/>
      <c r="BA355" s="15"/>
    </row>
    <row r="356" spans="2:53" ht="11.25" customHeight="1">
      <c r="B356" s="5" t="s">
        <v>277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0"/>
      <c r="AW356" s="10"/>
      <c r="AX356" s="10"/>
      <c r="AY356" s="15"/>
      <c r="AZ356" s="15"/>
      <c r="BA356" s="15"/>
    </row>
    <row r="357" spans="2:53" ht="11.25" customHeight="1">
      <c r="B357" s="5" t="s">
        <v>275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0"/>
      <c r="AW357" s="10"/>
      <c r="AX357" s="10"/>
      <c r="AY357" s="15"/>
      <c r="AZ357" s="15"/>
      <c r="BA357" s="15"/>
    </row>
    <row r="358" spans="2:53" ht="11.25" customHeight="1">
      <c r="B358" s="5" t="s">
        <v>272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0"/>
      <c r="AW358" s="10"/>
      <c r="AX358" s="10"/>
      <c r="AY358" s="15"/>
      <c r="AZ358" s="15"/>
      <c r="BA358" s="15"/>
    </row>
    <row r="359" spans="2:53" ht="11.25" customHeight="1">
      <c r="B359" s="5" t="s">
        <v>325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0"/>
      <c r="AW359" s="10"/>
      <c r="AX359" s="10"/>
      <c r="AY359" s="15"/>
      <c r="AZ359" s="15"/>
      <c r="BA359" s="15"/>
    </row>
    <row r="360" spans="2:53" ht="11.25" customHeight="1">
      <c r="B360" s="5" t="s">
        <v>324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0"/>
      <c r="AW360" s="10"/>
      <c r="AX360" s="10"/>
      <c r="AY360" s="15"/>
      <c r="AZ360" s="15"/>
      <c r="BA360" s="15"/>
    </row>
    <row r="361" spans="2:53" ht="11.25" customHeight="1">
      <c r="B361" s="5" t="s">
        <v>322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0"/>
      <c r="AW361" s="10"/>
      <c r="AX361" s="10"/>
      <c r="AY361" s="15"/>
      <c r="AZ361" s="15"/>
      <c r="BA361" s="15"/>
    </row>
    <row r="362" spans="2:53" ht="11.25" customHeight="1">
      <c r="B362" s="5" t="s">
        <v>320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0"/>
      <c r="AW362" s="10"/>
      <c r="AX362" s="10"/>
      <c r="AY362" s="15"/>
      <c r="AZ362" s="15"/>
      <c r="BA362" s="15"/>
    </row>
    <row r="363" spans="2:53" ht="11.25" customHeight="1">
      <c r="B363" s="5" t="s">
        <v>318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0"/>
      <c r="AW363" s="10"/>
      <c r="AX363" s="10"/>
      <c r="AY363" s="15"/>
      <c r="AZ363" s="15"/>
      <c r="BA363" s="15"/>
    </row>
    <row r="364" spans="2:53" ht="11.25" customHeight="1">
      <c r="B364" s="5" t="s">
        <v>317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0"/>
      <c r="AW364" s="10"/>
      <c r="AX364" s="10"/>
      <c r="AY364" s="15"/>
      <c r="AZ364" s="15"/>
      <c r="BA364" s="15"/>
    </row>
    <row r="365" spans="2:53" ht="11.25" customHeight="1">
      <c r="B365" s="5" t="s">
        <v>316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0"/>
      <c r="AW365" s="10"/>
      <c r="AX365" s="10"/>
      <c r="AY365" s="15"/>
      <c r="AZ365" s="15"/>
      <c r="BA365" s="15"/>
    </row>
    <row r="366" spans="2:53" ht="11.25" customHeight="1">
      <c r="B366" s="5" t="s">
        <v>314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0" t="str">
        <f>IF(AA366&gt;0,IF(AA366&gt;9,(AA366-Z366)/Z366,"&lt;10 cases"),"")</f>
        <v/>
      </c>
      <c r="AW366" s="10" t="str">
        <f>IF(AA366&gt;0,IF(AA366&gt;9,(AA366-(SUM(V366:Z366)/5))/AA366,"&lt;10 cases"),"")</f>
        <v/>
      </c>
      <c r="AX366" s="10" t="str">
        <f>IF(AA366&gt;0,IF(AA366&gt;9,(AA366-SUM(Q366:Z366)/10)/AA366,"&lt;10 cases"),"")</f>
        <v/>
      </c>
      <c r="AY366" s="15"/>
      <c r="AZ366" s="15"/>
      <c r="BA366" s="15"/>
    </row>
    <row r="367" spans="2:53" ht="11.25" customHeight="1">
      <c r="B367" s="5" t="s">
        <v>313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0"/>
      <c r="AW367" s="10"/>
      <c r="AX367" s="10"/>
      <c r="AY367" s="15"/>
      <c r="AZ367" s="15"/>
      <c r="BA367" s="15"/>
    </row>
    <row r="368" spans="2:53" ht="11.25" customHeight="1">
      <c r="B368" s="5" t="s">
        <v>311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0"/>
      <c r="AW368" s="10"/>
      <c r="AX368" s="10"/>
      <c r="AY368" s="15"/>
      <c r="AZ368" s="15"/>
      <c r="BA368" s="15"/>
    </row>
    <row r="369" spans="2:53" ht="11.25" customHeight="1">
      <c r="B369" s="5" t="s">
        <v>308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0"/>
      <c r="AW369" s="10"/>
      <c r="AX369" s="10"/>
      <c r="AY369" s="15"/>
      <c r="AZ369" s="15"/>
      <c r="BA369" s="15"/>
    </row>
    <row r="370" spans="2:53" ht="11.25" customHeight="1">
      <c r="B370" s="5" t="s">
        <v>307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0"/>
      <c r="AW370" s="10"/>
      <c r="AX370" s="10"/>
      <c r="AY370" s="15"/>
      <c r="AZ370" s="15"/>
      <c r="BA370" s="15"/>
    </row>
    <row r="371" spans="2:53" ht="11.25" customHeight="1">
      <c r="B371" s="5" t="s">
        <v>306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0"/>
      <c r="AW371" s="10"/>
      <c r="AX371" s="10"/>
      <c r="AY371" s="15"/>
      <c r="AZ371" s="15"/>
      <c r="BA371" s="15"/>
    </row>
    <row r="372" spans="2:53" ht="11.25" customHeight="1">
      <c r="B372" s="5" t="s">
        <v>326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0"/>
      <c r="AW372" s="10"/>
      <c r="AX372" s="10"/>
      <c r="AY372" s="15"/>
      <c r="AZ372" s="15"/>
      <c r="BA372" s="15"/>
    </row>
    <row r="373" spans="2:53" ht="11.25" customHeight="1">
      <c r="B373" s="5" t="s">
        <v>342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0"/>
      <c r="AW373" s="10"/>
      <c r="AX373" s="10"/>
      <c r="AY373" s="15"/>
      <c r="AZ373" s="15"/>
      <c r="BA373" s="15"/>
    </row>
    <row r="374" spans="2:53" ht="11.25" customHeight="1">
      <c r="B374" s="5" t="s">
        <v>338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0"/>
      <c r="AW374" s="10"/>
      <c r="AX374" s="10"/>
      <c r="AY374" s="15"/>
      <c r="AZ374" s="15"/>
      <c r="BA374" s="15"/>
    </row>
    <row r="375" spans="2:53" ht="11.25" customHeight="1">
      <c r="B375" s="5" t="s">
        <v>337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0"/>
      <c r="AW375" s="10"/>
      <c r="AX375" s="10"/>
      <c r="AY375" s="15"/>
      <c r="AZ375" s="15"/>
      <c r="BA375" s="15"/>
    </row>
    <row r="376" spans="2:53" ht="11.25" customHeight="1">
      <c r="B376" s="5" t="s">
        <v>335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0"/>
      <c r="AW376" s="10"/>
      <c r="AX376" s="10"/>
      <c r="AY376" s="15"/>
      <c r="AZ376" s="15"/>
      <c r="BA376" s="15"/>
    </row>
    <row r="377" spans="2:53" ht="11.25" customHeight="1">
      <c r="B377" s="5" t="s">
        <v>333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0"/>
      <c r="AW377" s="10"/>
      <c r="AX377" s="10"/>
      <c r="AY377" s="15"/>
      <c r="AZ377" s="15"/>
      <c r="BA377" s="15"/>
    </row>
    <row r="378" spans="2:53" ht="11.25" customHeight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0"/>
      <c r="AW378" s="10"/>
      <c r="AX378" s="10"/>
      <c r="AY378" s="15"/>
      <c r="AZ378" s="15"/>
      <c r="BA378" s="15"/>
    </row>
    <row r="379" spans="2:53" ht="11.25" customHeight="1">
      <c r="B379" s="53" t="s">
        <v>344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0" t="str">
        <f>IF(AA379&gt;0,IF(AA379&gt;9,(AA379-Z379)/Z379,"&lt;10 cases"),"")</f>
        <v/>
      </c>
      <c r="AW379" s="10" t="str">
        <f>IF(AA379&gt;0,IF(AA379&gt;9,(AA379-(SUM(V379:Z379)/5))/AA379,"&lt;10 cases"),"")</f>
        <v/>
      </c>
      <c r="AX379" s="10" t="str">
        <f>IF(AA379&gt;0,IF(AA379&gt;9,(AA379-SUM(Q379:Z379)/10)/AA379,"&lt;10 cases"),"")</f>
        <v/>
      </c>
      <c r="AY379" s="15"/>
      <c r="AZ379" s="15"/>
      <c r="BA379" s="15"/>
    </row>
    <row r="380" spans="2:53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0" t="str">
        <f t="shared" ref="AV380:AV441" si="297">IF(AA380&gt;0,IF(AA380&gt;9,(AA380-Z380)/Z380,"&lt;10 cases"),"")</f>
        <v/>
      </c>
      <c r="AW380" s="10" t="str">
        <f t="shared" ref="AW380:AW441" si="298">IF(AA380&gt;0,IF(AA380&gt;9,(AA380-(SUM(V380:Z380)/5))/AA380,"&lt;10 cases"),"")</f>
        <v/>
      </c>
      <c r="AX380" s="10" t="str">
        <f t="shared" ref="AX380:AX441" si="299">IF(AA380&gt;0,IF(AA380&gt;9,(AA380-SUM(Q380:Z380)/10)/AA380,"&lt;10 cases"),"")</f>
        <v/>
      </c>
      <c r="AY380" s="15"/>
      <c r="AZ380" s="15"/>
      <c r="BA380" s="15"/>
    </row>
    <row r="381" spans="2:5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0" t="str">
        <f t="shared" si="297"/>
        <v/>
      </c>
      <c r="AW381" s="7" t="str">
        <f t="shared" si="298"/>
        <v/>
      </c>
      <c r="AX381" s="7" t="str">
        <f t="shared" si="299"/>
        <v/>
      </c>
    </row>
    <row r="382" spans="2:5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0" t="str">
        <f t="shared" si="297"/>
        <v/>
      </c>
      <c r="AW382" s="7" t="str">
        <f t="shared" si="298"/>
        <v/>
      </c>
      <c r="AX382" s="7" t="str">
        <f t="shared" si="299"/>
        <v/>
      </c>
    </row>
    <row r="383" spans="2:5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0" t="str">
        <f t="shared" si="297"/>
        <v/>
      </c>
      <c r="AW383" s="7" t="str">
        <f t="shared" si="298"/>
        <v/>
      </c>
      <c r="AX383" s="7" t="str">
        <f t="shared" si="299"/>
        <v/>
      </c>
    </row>
    <row r="384" spans="2:5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0" t="str">
        <f t="shared" si="297"/>
        <v/>
      </c>
      <c r="AW384" s="7" t="str">
        <f t="shared" si="298"/>
        <v/>
      </c>
      <c r="AX384" s="7" t="str">
        <f t="shared" si="299"/>
        <v/>
      </c>
    </row>
    <row r="385" spans="2:50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0" t="str">
        <f t="shared" si="297"/>
        <v/>
      </c>
      <c r="AW385" s="7" t="str">
        <f t="shared" si="298"/>
        <v/>
      </c>
      <c r="AX385" s="7" t="str">
        <f t="shared" si="299"/>
        <v/>
      </c>
    </row>
    <row r="386" spans="2:50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0" t="str">
        <f t="shared" si="297"/>
        <v/>
      </c>
      <c r="AW386" s="7" t="str">
        <f t="shared" si="298"/>
        <v/>
      </c>
      <c r="AX386" s="7" t="str">
        <f t="shared" si="299"/>
        <v/>
      </c>
    </row>
    <row r="387" spans="2:50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0" t="str">
        <f t="shared" si="297"/>
        <v/>
      </c>
      <c r="AW387" s="7" t="str">
        <f t="shared" si="298"/>
        <v/>
      </c>
      <c r="AX387" s="7" t="str">
        <f t="shared" si="299"/>
        <v/>
      </c>
    </row>
    <row r="388" spans="2:50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0" t="str">
        <f t="shared" si="297"/>
        <v/>
      </c>
      <c r="AW388" s="7" t="str">
        <f t="shared" si="298"/>
        <v/>
      </c>
      <c r="AX388" s="7" t="str">
        <f t="shared" si="299"/>
        <v/>
      </c>
    </row>
    <row r="389" spans="2:50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0" t="str">
        <f t="shared" si="297"/>
        <v/>
      </c>
      <c r="AW389" s="7" t="str">
        <f t="shared" si="298"/>
        <v/>
      </c>
      <c r="AX389" s="7" t="str">
        <f t="shared" si="299"/>
        <v/>
      </c>
    </row>
    <row r="390" spans="2:50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0" t="str">
        <f t="shared" si="297"/>
        <v/>
      </c>
      <c r="AW390" s="7" t="str">
        <f t="shared" si="298"/>
        <v/>
      </c>
      <c r="AX390" s="7" t="str">
        <f t="shared" si="299"/>
        <v/>
      </c>
    </row>
    <row r="391" spans="2:50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0" t="str">
        <f t="shared" si="297"/>
        <v/>
      </c>
      <c r="AW391" s="7" t="str">
        <f t="shared" si="298"/>
        <v/>
      </c>
      <c r="AX391" s="7" t="str">
        <f t="shared" si="299"/>
        <v/>
      </c>
    </row>
    <row r="392" spans="2:50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0" t="str">
        <f t="shared" si="297"/>
        <v/>
      </c>
      <c r="AW392" s="7" t="str">
        <f t="shared" si="298"/>
        <v/>
      </c>
      <c r="AX392" s="7" t="str">
        <f t="shared" si="299"/>
        <v/>
      </c>
    </row>
    <row r="393" spans="2:50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0" t="str">
        <f t="shared" si="297"/>
        <v/>
      </c>
      <c r="AW393" s="7" t="str">
        <f t="shared" si="298"/>
        <v/>
      </c>
      <c r="AX393" s="7" t="str">
        <f t="shared" si="299"/>
        <v/>
      </c>
    </row>
    <row r="394" spans="2:50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0" t="str">
        <f t="shared" si="297"/>
        <v/>
      </c>
      <c r="AW394" s="7" t="str">
        <f t="shared" si="298"/>
        <v/>
      </c>
      <c r="AX394" s="7" t="str">
        <f t="shared" si="299"/>
        <v/>
      </c>
    </row>
    <row r="395" spans="2:50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0" t="str">
        <f t="shared" si="297"/>
        <v/>
      </c>
      <c r="AW395" s="7" t="str">
        <f t="shared" si="298"/>
        <v/>
      </c>
      <c r="AX395" s="7" t="str">
        <f t="shared" si="299"/>
        <v/>
      </c>
    </row>
    <row r="396" spans="2:50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0" t="str">
        <f t="shared" si="297"/>
        <v/>
      </c>
      <c r="AW396" s="7" t="str">
        <f t="shared" si="298"/>
        <v/>
      </c>
      <c r="AX396" s="7" t="str">
        <f t="shared" si="299"/>
        <v/>
      </c>
    </row>
    <row r="397" spans="2:50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0" t="str">
        <f t="shared" si="297"/>
        <v/>
      </c>
      <c r="AW397" s="7" t="str">
        <f t="shared" si="298"/>
        <v/>
      </c>
      <c r="AX397" s="7" t="str">
        <f t="shared" si="299"/>
        <v/>
      </c>
    </row>
    <row r="398" spans="2:50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0" t="str">
        <f t="shared" si="297"/>
        <v/>
      </c>
      <c r="AW398" s="7" t="str">
        <f t="shared" si="298"/>
        <v/>
      </c>
      <c r="AX398" s="7" t="str">
        <f t="shared" si="299"/>
        <v/>
      </c>
    </row>
    <row r="399" spans="2:50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0" t="str">
        <f t="shared" si="297"/>
        <v/>
      </c>
      <c r="AW399" s="7" t="str">
        <f t="shared" si="298"/>
        <v/>
      </c>
      <c r="AX399" s="7" t="str">
        <f t="shared" si="299"/>
        <v/>
      </c>
    </row>
    <row r="400" spans="2:50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0" t="str">
        <f t="shared" si="297"/>
        <v/>
      </c>
      <c r="AW400" s="7" t="str">
        <f t="shared" si="298"/>
        <v/>
      </c>
      <c r="AX400" s="7" t="str">
        <f t="shared" si="299"/>
        <v/>
      </c>
    </row>
    <row r="401" spans="2:50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0" t="str">
        <f t="shared" si="297"/>
        <v/>
      </c>
      <c r="AW401" s="7" t="str">
        <f t="shared" si="298"/>
        <v/>
      </c>
      <c r="AX401" s="7" t="str">
        <f t="shared" si="299"/>
        <v/>
      </c>
    </row>
    <row r="402" spans="2:50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0" t="str">
        <f t="shared" si="297"/>
        <v/>
      </c>
      <c r="AW402" s="7" t="str">
        <f t="shared" si="298"/>
        <v/>
      </c>
      <c r="AX402" s="7" t="str">
        <f t="shared" si="299"/>
        <v/>
      </c>
    </row>
    <row r="403" spans="2:50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0" t="str">
        <f t="shared" si="297"/>
        <v/>
      </c>
      <c r="AW403" s="7" t="str">
        <f t="shared" si="298"/>
        <v/>
      </c>
      <c r="AX403" s="7" t="str">
        <f t="shared" si="299"/>
        <v/>
      </c>
    </row>
    <row r="404" spans="2:50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0" t="str">
        <f t="shared" si="297"/>
        <v/>
      </c>
      <c r="AW404" s="7" t="str">
        <f t="shared" si="298"/>
        <v/>
      </c>
      <c r="AX404" s="7" t="str">
        <f t="shared" si="299"/>
        <v/>
      </c>
    </row>
    <row r="405" spans="2:50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0" t="str">
        <f t="shared" si="297"/>
        <v/>
      </c>
      <c r="AW405" s="7" t="str">
        <f t="shared" si="298"/>
        <v/>
      </c>
      <c r="AX405" s="7" t="str">
        <f t="shared" si="299"/>
        <v/>
      </c>
    </row>
    <row r="406" spans="2:50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0" t="str">
        <f t="shared" si="297"/>
        <v/>
      </c>
      <c r="AW406" s="7" t="str">
        <f t="shared" si="298"/>
        <v/>
      </c>
      <c r="AX406" s="7" t="str">
        <f t="shared" si="299"/>
        <v/>
      </c>
    </row>
    <row r="407" spans="2:50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0" t="str">
        <f t="shared" si="297"/>
        <v/>
      </c>
      <c r="AW407" s="7" t="str">
        <f t="shared" si="298"/>
        <v/>
      </c>
      <c r="AX407" s="7" t="str">
        <f t="shared" si="299"/>
        <v/>
      </c>
    </row>
    <row r="408" spans="2:50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0" t="str">
        <f t="shared" si="297"/>
        <v/>
      </c>
      <c r="AW408" s="7" t="str">
        <f t="shared" si="298"/>
        <v/>
      </c>
      <c r="AX408" s="7" t="str">
        <f t="shared" si="299"/>
        <v/>
      </c>
    </row>
    <row r="409" spans="2:50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0" t="str">
        <f t="shared" si="297"/>
        <v/>
      </c>
      <c r="AW409" s="7" t="str">
        <f t="shared" si="298"/>
        <v/>
      </c>
      <c r="AX409" s="7" t="str">
        <f t="shared" si="299"/>
        <v/>
      </c>
    </row>
    <row r="410" spans="2:50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0" t="str">
        <f t="shared" si="297"/>
        <v/>
      </c>
      <c r="AW410" s="7" t="str">
        <f t="shared" si="298"/>
        <v/>
      </c>
      <c r="AX410" s="7" t="str">
        <f t="shared" si="299"/>
        <v/>
      </c>
    </row>
    <row r="411" spans="2:50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0" t="str">
        <f t="shared" si="297"/>
        <v/>
      </c>
      <c r="AW411" s="7" t="str">
        <f t="shared" si="298"/>
        <v/>
      </c>
      <c r="AX411" s="7" t="str">
        <f t="shared" si="299"/>
        <v/>
      </c>
    </row>
    <row r="412" spans="2:50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0" t="str">
        <f t="shared" si="297"/>
        <v/>
      </c>
      <c r="AW412" s="7" t="str">
        <f t="shared" si="298"/>
        <v/>
      </c>
      <c r="AX412" s="7" t="str">
        <f t="shared" si="299"/>
        <v/>
      </c>
    </row>
    <row r="413" spans="2:50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0" t="str">
        <f t="shared" si="297"/>
        <v/>
      </c>
      <c r="AW413" s="7" t="str">
        <f t="shared" si="298"/>
        <v/>
      </c>
      <c r="AX413" s="7" t="str">
        <f t="shared" si="299"/>
        <v/>
      </c>
    </row>
    <row r="414" spans="2:50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0" t="str">
        <f t="shared" si="297"/>
        <v/>
      </c>
      <c r="AW414" s="7" t="str">
        <f t="shared" si="298"/>
        <v/>
      </c>
      <c r="AX414" s="7" t="str">
        <f t="shared" si="299"/>
        <v/>
      </c>
    </row>
    <row r="415" spans="2:50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0" t="str">
        <f t="shared" si="297"/>
        <v/>
      </c>
      <c r="AW415" s="7" t="str">
        <f t="shared" si="298"/>
        <v/>
      </c>
      <c r="AX415" s="7" t="str">
        <f t="shared" si="299"/>
        <v/>
      </c>
    </row>
    <row r="416" spans="2:50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0" t="str">
        <f t="shared" si="297"/>
        <v/>
      </c>
      <c r="AW416" s="7" t="str">
        <f t="shared" si="298"/>
        <v/>
      </c>
      <c r="AX416" s="7" t="str">
        <f t="shared" si="299"/>
        <v/>
      </c>
    </row>
    <row r="417" spans="2:50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0" t="str">
        <f t="shared" si="297"/>
        <v/>
      </c>
      <c r="AW417" s="7" t="str">
        <f t="shared" si="298"/>
        <v/>
      </c>
      <c r="AX417" s="7" t="str">
        <f t="shared" si="299"/>
        <v/>
      </c>
    </row>
    <row r="418" spans="2:50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0" t="str">
        <f t="shared" si="297"/>
        <v/>
      </c>
      <c r="AW418" s="7" t="str">
        <f t="shared" si="298"/>
        <v/>
      </c>
      <c r="AX418" s="7" t="str">
        <f t="shared" si="299"/>
        <v/>
      </c>
    </row>
    <row r="419" spans="2:50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0" t="str">
        <f t="shared" si="297"/>
        <v/>
      </c>
      <c r="AW419" s="7" t="str">
        <f t="shared" si="298"/>
        <v/>
      </c>
      <c r="AX419" s="7" t="str">
        <f t="shared" si="299"/>
        <v/>
      </c>
    </row>
    <row r="420" spans="2:50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0" t="str">
        <f t="shared" si="297"/>
        <v/>
      </c>
      <c r="AW420" s="7" t="str">
        <f t="shared" si="298"/>
        <v/>
      </c>
      <c r="AX420" s="7" t="str">
        <f t="shared" si="299"/>
        <v/>
      </c>
    </row>
    <row r="421" spans="2:50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0" t="str">
        <f t="shared" si="297"/>
        <v/>
      </c>
      <c r="AW421" s="7" t="str">
        <f t="shared" si="298"/>
        <v/>
      </c>
      <c r="AX421" s="7" t="str">
        <f t="shared" si="299"/>
        <v/>
      </c>
    </row>
    <row r="422" spans="2:50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0" t="str">
        <f t="shared" si="297"/>
        <v/>
      </c>
      <c r="AW422" s="7" t="str">
        <f t="shared" si="298"/>
        <v/>
      </c>
      <c r="AX422" s="7" t="str">
        <f t="shared" si="299"/>
        <v/>
      </c>
    </row>
    <row r="423" spans="2:50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0" t="str">
        <f t="shared" si="297"/>
        <v/>
      </c>
      <c r="AW423" s="7" t="str">
        <f t="shared" si="298"/>
        <v/>
      </c>
      <c r="AX423" s="7" t="str">
        <f t="shared" si="299"/>
        <v/>
      </c>
    </row>
    <row r="424" spans="2:50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0" t="str">
        <f t="shared" si="297"/>
        <v/>
      </c>
      <c r="AW424" s="7" t="str">
        <f t="shared" si="298"/>
        <v/>
      </c>
      <c r="AX424" s="7" t="str">
        <f t="shared" si="299"/>
        <v/>
      </c>
    </row>
    <row r="425" spans="2:50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0" t="str">
        <f t="shared" si="297"/>
        <v/>
      </c>
      <c r="AW425" s="7" t="str">
        <f t="shared" si="298"/>
        <v/>
      </c>
      <c r="AX425" s="7" t="str">
        <f t="shared" si="299"/>
        <v/>
      </c>
    </row>
    <row r="426" spans="2:50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0" t="str">
        <f t="shared" si="297"/>
        <v/>
      </c>
      <c r="AW426" s="7" t="str">
        <f t="shared" si="298"/>
        <v/>
      </c>
      <c r="AX426" s="7" t="str">
        <f t="shared" si="299"/>
        <v/>
      </c>
    </row>
    <row r="427" spans="2:50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0" t="str">
        <f t="shared" si="297"/>
        <v/>
      </c>
      <c r="AW427" s="7" t="str">
        <f t="shared" si="298"/>
        <v/>
      </c>
      <c r="AX427" s="7" t="str">
        <f t="shared" si="299"/>
        <v/>
      </c>
    </row>
    <row r="428" spans="2:50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0" t="str">
        <f t="shared" si="297"/>
        <v/>
      </c>
      <c r="AW428" s="7" t="str">
        <f t="shared" si="298"/>
        <v/>
      </c>
      <c r="AX428" s="7" t="str">
        <f t="shared" si="299"/>
        <v/>
      </c>
    </row>
    <row r="429" spans="2:50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0" t="str">
        <f t="shared" si="297"/>
        <v/>
      </c>
      <c r="AW429" s="7" t="str">
        <f t="shared" si="298"/>
        <v/>
      </c>
      <c r="AX429" s="7" t="str">
        <f t="shared" si="299"/>
        <v/>
      </c>
    </row>
    <row r="430" spans="2:50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0" t="str">
        <f t="shared" si="297"/>
        <v/>
      </c>
      <c r="AW430" s="7" t="str">
        <f t="shared" si="298"/>
        <v/>
      </c>
      <c r="AX430" s="7" t="str">
        <f t="shared" si="299"/>
        <v/>
      </c>
    </row>
    <row r="431" spans="2:50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0" t="str">
        <f t="shared" si="297"/>
        <v/>
      </c>
      <c r="AW431" s="7" t="str">
        <f t="shared" si="298"/>
        <v/>
      </c>
      <c r="AX431" s="7" t="str">
        <f t="shared" si="299"/>
        <v/>
      </c>
    </row>
    <row r="432" spans="2:50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0" t="str">
        <f t="shared" si="297"/>
        <v/>
      </c>
      <c r="AW432" s="7" t="str">
        <f t="shared" si="298"/>
        <v/>
      </c>
      <c r="AX432" s="7" t="str">
        <f t="shared" si="299"/>
        <v/>
      </c>
    </row>
    <row r="433" spans="2:50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0" t="str">
        <f t="shared" si="297"/>
        <v/>
      </c>
      <c r="AW433" s="7" t="str">
        <f t="shared" si="298"/>
        <v/>
      </c>
      <c r="AX433" s="7" t="str">
        <f t="shared" si="299"/>
        <v/>
      </c>
    </row>
    <row r="434" spans="2:50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0" t="str">
        <f t="shared" si="297"/>
        <v/>
      </c>
      <c r="AW434" s="7" t="str">
        <f t="shared" si="298"/>
        <v/>
      </c>
      <c r="AX434" s="7" t="str">
        <f t="shared" si="299"/>
        <v/>
      </c>
    </row>
    <row r="435" spans="2:50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0" t="str">
        <f t="shared" si="297"/>
        <v/>
      </c>
      <c r="AW435" s="7" t="str">
        <f t="shared" si="298"/>
        <v/>
      </c>
      <c r="AX435" s="7" t="str">
        <f t="shared" si="299"/>
        <v/>
      </c>
    </row>
    <row r="436" spans="2:50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0" t="str">
        <f t="shared" si="297"/>
        <v/>
      </c>
      <c r="AW436" s="7" t="str">
        <f t="shared" si="298"/>
        <v/>
      </c>
      <c r="AX436" s="7" t="str">
        <f t="shared" si="299"/>
        <v/>
      </c>
    </row>
    <row r="437" spans="2:50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0" t="str">
        <f t="shared" si="297"/>
        <v/>
      </c>
      <c r="AW437" s="7" t="str">
        <f t="shared" si="298"/>
        <v/>
      </c>
      <c r="AX437" s="7" t="str">
        <f t="shared" si="299"/>
        <v/>
      </c>
    </row>
    <row r="438" spans="2:50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0" t="str">
        <f t="shared" si="297"/>
        <v/>
      </c>
      <c r="AW438" s="7" t="str">
        <f t="shared" si="298"/>
        <v/>
      </c>
      <c r="AX438" s="7" t="str">
        <f t="shared" si="299"/>
        <v/>
      </c>
    </row>
    <row r="439" spans="2:50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0" t="str">
        <f t="shared" si="297"/>
        <v/>
      </c>
      <c r="AW439" s="7" t="str">
        <f t="shared" si="298"/>
        <v/>
      </c>
      <c r="AX439" s="7" t="str">
        <f t="shared" si="299"/>
        <v/>
      </c>
    </row>
    <row r="440" spans="2:50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0" t="str">
        <f t="shared" si="297"/>
        <v/>
      </c>
      <c r="AW440" s="7" t="str">
        <f t="shared" si="298"/>
        <v/>
      </c>
      <c r="AX440" s="7" t="str">
        <f t="shared" si="299"/>
        <v/>
      </c>
    </row>
    <row r="441" spans="2:50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0" t="str">
        <f t="shared" si="297"/>
        <v/>
      </c>
      <c r="AW441" s="7" t="str">
        <f t="shared" si="298"/>
        <v/>
      </c>
      <c r="AX441" s="7" t="str">
        <f t="shared" si="299"/>
        <v/>
      </c>
    </row>
    <row r="442" spans="2:50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0" t="str">
        <f t="shared" ref="AV442:AV505" si="300">IF(AA442&gt;0,IF(AA442&gt;9,(AA442-Z442)/Z442,"&lt;10 cases"),"")</f>
        <v/>
      </c>
      <c r="AW442" s="7" t="str">
        <f t="shared" ref="AW442:AW505" si="301">IF(AA442&gt;0,IF(AA442&gt;9,(AA442-(SUM(V442:Z442)/5))/AA442,"&lt;10 cases"),"")</f>
        <v/>
      </c>
      <c r="AX442" s="7" t="str">
        <f t="shared" ref="AX442:AX505" si="302">IF(AA442&gt;0,IF(AA442&gt;9,(AA442-SUM(Q442:Z442)/10)/AA442,"&lt;10 cases"),"")</f>
        <v/>
      </c>
    </row>
    <row r="443" spans="2:50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0" t="str">
        <f t="shared" si="300"/>
        <v/>
      </c>
      <c r="AW443" s="7" t="str">
        <f t="shared" si="301"/>
        <v/>
      </c>
      <c r="AX443" s="7" t="str">
        <f t="shared" si="302"/>
        <v/>
      </c>
    </row>
    <row r="444" spans="2:50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0" t="str">
        <f t="shared" si="300"/>
        <v/>
      </c>
      <c r="AW444" s="7" t="str">
        <f t="shared" si="301"/>
        <v/>
      </c>
      <c r="AX444" s="7" t="str">
        <f t="shared" si="302"/>
        <v/>
      </c>
    </row>
    <row r="445" spans="2:50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0" t="str">
        <f t="shared" si="300"/>
        <v/>
      </c>
      <c r="AW445" s="7" t="str">
        <f t="shared" si="301"/>
        <v/>
      </c>
      <c r="AX445" s="7" t="str">
        <f t="shared" si="302"/>
        <v/>
      </c>
    </row>
    <row r="446" spans="2:50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0" t="str">
        <f t="shared" si="300"/>
        <v/>
      </c>
      <c r="AW446" s="7" t="str">
        <f t="shared" si="301"/>
        <v/>
      </c>
      <c r="AX446" s="7" t="str">
        <f t="shared" si="302"/>
        <v/>
      </c>
    </row>
    <row r="447" spans="2:50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0" t="str">
        <f t="shared" si="300"/>
        <v/>
      </c>
      <c r="AW447" s="7" t="str">
        <f t="shared" si="301"/>
        <v/>
      </c>
      <c r="AX447" s="7" t="str">
        <f t="shared" si="302"/>
        <v/>
      </c>
    </row>
    <row r="448" spans="2:50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0" t="str">
        <f t="shared" si="300"/>
        <v/>
      </c>
      <c r="AW448" s="7" t="str">
        <f t="shared" si="301"/>
        <v/>
      </c>
      <c r="AX448" s="7" t="str">
        <f t="shared" si="302"/>
        <v/>
      </c>
    </row>
    <row r="449" spans="2:50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0" t="str">
        <f t="shared" si="300"/>
        <v/>
      </c>
      <c r="AW449" s="7" t="str">
        <f t="shared" si="301"/>
        <v/>
      </c>
      <c r="AX449" s="7" t="str">
        <f t="shared" si="302"/>
        <v/>
      </c>
    </row>
    <row r="450" spans="2:50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0" t="str">
        <f t="shared" si="300"/>
        <v/>
      </c>
      <c r="AW450" s="7" t="str">
        <f t="shared" si="301"/>
        <v/>
      </c>
      <c r="AX450" s="7" t="str">
        <f t="shared" si="302"/>
        <v/>
      </c>
    </row>
    <row r="451" spans="2:50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0" t="str">
        <f t="shared" si="300"/>
        <v/>
      </c>
      <c r="AW451" s="7" t="str">
        <f t="shared" si="301"/>
        <v/>
      </c>
      <c r="AX451" s="7" t="str">
        <f t="shared" si="302"/>
        <v/>
      </c>
    </row>
    <row r="452" spans="2:50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0" t="str">
        <f t="shared" si="300"/>
        <v/>
      </c>
      <c r="AW452" s="7" t="str">
        <f t="shared" si="301"/>
        <v/>
      </c>
      <c r="AX452" s="7" t="str">
        <f t="shared" si="302"/>
        <v/>
      </c>
    </row>
    <row r="453" spans="2:50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0" t="str">
        <f t="shared" si="300"/>
        <v/>
      </c>
      <c r="AW453" s="7" t="str">
        <f t="shared" si="301"/>
        <v/>
      </c>
      <c r="AX453" s="7" t="str">
        <f t="shared" si="302"/>
        <v/>
      </c>
    </row>
    <row r="454" spans="2:50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0" t="str">
        <f t="shared" si="300"/>
        <v/>
      </c>
      <c r="AW454" s="7" t="str">
        <f t="shared" si="301"/>
        <v/>
      </c>
      <c r="AX454" s="7" t="str">
        <f t="shared" si="302"/>
        <v/>
      </c>
    </row>
    <row r="455" spans="2:50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0" t="str">
        <f t="shared" si="300"/>
        <v/>
      </c>
      <c r="AW455" s="7" t="str">
        <f t="shared" si="301"/>
        <v/>
      </c>
      <c r="AX455" s="7" t="str">
        <f t="shared" si="302"/>
        <v/>
      </c>
    </row>
    <row r="456" spans="2:50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0" t="str">
        <f t="shared" si="300"/>
        <v/>
      </c>
      <c r="AW456" s="7" t="str">
        <f t="shared" si="301"/>
        <v/>
      </c>
      <c r="AX456" s="7" t="str">
        <f t="shared" si="302"/>
        <v/>
      </c>
    </row>
    <row r="457" spans="2:50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0" t="str">
        <f t="shared" si="300"/>
        <v/>
      </c>
      <c r="AW457" s="7" t="str">
        <f t="shared" si="301"/>
        <v/>
      </c>
      <c r="AX457" s="7" t="str">
        <f t="shared" si="302"/>
        <v/>
      </c>
    </row>
    <row r="458" spans="2:50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0" t="str">
        <f t="shared" si="300"/>
        <v/>
      </c>
      <c r="AW458" s="7" t="str">
        <f t="shared" si="301"/>
        <v/>
      </c>
      <c r="AX458" s="7" t="str">
        <f t="shared" si="302"/>
        <v/>
      </c>
    </row>
    <row r="459" spans="2:50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0" t="str">
        <f t="shared" si="300"/>
        <v/>
      </c>
      <c r="AW459" s="7" t="str">
        <f t="shared" si="301"/>
        <v/>
      </c>
      <c r="AX459" s="7" t="str">
        <f t="shared" si="302"/>
        <v/>
      </c>
    </row>
    <row r="460" spans="2:50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0" t="str">
        <f t="shared" si="300"/>
        <v/>
      </c>
      <c r="AW460" s="7" t="str">
        <f t="shared" si="301"/>
        <v/>
      </c>
      <c r="AX460" s="7" t="str">
        <f t="shared" si="302"/>
        <v/>
      </c>
    </row>
    <row r="461" spans="2:50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0" t="str">
        <f t="shared" si="300"/>
        <v/>
      </c>
      <c r="AW461" s="7" t="str">
        <f t="shared" si="301"/>
        <v/>
      </c>
      <c r="AX461" s="7" t="str">
        <f t="shared" si="302"/>
        <v/>
      </c>
    </row>
    <row r="462" spans="2:50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0" t="str">
        <f t="shared" si="300"/>
        <v/>
      </c>
      <c r="AW462" s="7" t="str">
        <f t="shared" si="301"/>
        <v/>
      </c>
      <c r="AX462" s="7" t="str">
        <f t="shared" si="302"/>
        <v/>
      </c>
    </row>
    <row r="463" spans="2:50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0" t="str">
        <f t="shared" si="300"/>
        <v/>
      </c>
      <c r="AW463" s="7" t="str">
        <f t="shared" si="301"/>
        <v/>
      </c>
      <c r="AX463" s="7" t="str">
        <f t="shared" si="302"/>
        <v/>
      </c>
    </row>
    <row r="464" spans="2:50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0" t="str">
        <f t="shared" si="300"/>
        <v/>
      </c>
      <c r="AW464" s="7" t="str">
        <f t="shared" si="301"/>
        <v/>
      </c>
      <c r="AX464" s="7" t="str">
        <f t="shared" si="302"/>
        <v/>
      </c>
    </row>
    <row r="465" spans="2:50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0" t="str">
        <f t="shared" si="300"/>
        <v/>
      </c>
      <c r="AW465" s="7" t="str">
        <f t="shared" si="301"/>
        <v/>
      </c>
      <c r="AX465" s="7" t="str">
        <f t="shared" si="302"/>
        <v/>
      </c>
    </row>
    <row r="466" spans="2:50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0" t="str">
        <f t="shared" si="300"/>
        <v/>
      </c>
      <c r="AW466" s="7" t="str">
        <f t="shared" si="301"/>
        <v/>
      </c>
      <c r="AX466" s="7" t="str">
        <f t="shared" si="302"/>
        <v/>
      </c>
    </row>
    <row r="467" spans="2:50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0" t="str">
        <f t="shared" si="300"/>
        <v/>
      </c>
      <c r="AW467" s="7" t="str">
        <f t="shared" si="301"/>
        <v/>
      </c>
      <c r="AX467" s="7" t="str">
        <f t="shared" si="302"/>
        <v/>
      </c>
    </row>
    <row r="468" spans="2:50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0" t="str">
        <f t="shared" si="300"/>
        <v/>
      </c>
      <c r="AW468" s="7" t="str">
        <f t="shared" si="301"/>
        <v/>
      </c>
      <c r="AX468" s="7" t="str">
        <f t="shared" si="302"/>
        <v/>
      </c>
    </row>
    <row r="469" spans="2:50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0" t="str">
        <f t="shared" si="300"/>
        <v/>
      </c>
      <c r="AW469" s="7" t="str">
        <f t="shared" si="301"/>
        <v/>
      </c>
      <c r="AX469" s="7" t="str">
        <f t="shared" si="302"/>
        <v/>
      </c>
    </row>
    <row r="470" spans="2:50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0" t="str">
        <f t="shared" si="300"/>
        <v/>
      </c>
      <c r="AW470" s="7" t="str">
        <f t="shared" si="301"/>
        <v/>
      </c>
      <c r="AX470" s="7" t="str">
        <f t="shared" si="302"/>
        <v/>
      </c>
    </row>
    <row r="471" spans="2:50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0" t="str">
        <f t="shared" si="300"/>
        <v/>
      </c>
      <c r="AW471" s="7" t="str">
        <f t="shared" si="301"/>
        <v/>
      </c>
      <c r="AX471" s="7" t="str">
        <f t="shared" si="302"/>
        <v/>
      </c>
    </row>
    <row r="472" spans="2:50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0" t="str">
        <f t="shared" si="300"/>
        <v/>
      </c>
      <c r="AW472" s="7" t="str">
        <f t="shared" si="301"/>
        <v/>
      </c>
      <c r="AX472" s="7" t="str">
        <f t="shared" si="302"/>
        <v/>
      </c>
    </row>
    <row r="473" spans="2:50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0" t="str">
        <f t="shared" si="300"/>
        <v/>
      </c>
      <c r="AW473" s="7" t="str">
        <f t="shared" si="301"/>
        <v/>
      </c>
      <c r="AX473" s="7" t="str">
        <f t="shared" si="302"/>
        <v/>
      </c>
    </row>
    <row r="474" spans="2:50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0" t="str">
        <f t="shared" si="300"/>
        <v/>
      </c>
      <c r="AW474" s="7" t="str">
        <f t="shared" si="301"/>
        <v/>
      </c>
      <c r="AX474" s="7" t="str">
        <f t="shared" si="302"/>
        <v/>
      </c>
    </row>
    <row r="475" spans="2:50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0" t="str">
        <f t="shared" si="300"/>
        <v/>
      </c>
      <c r="AW475" s="7" t="str">
        <f t="shared" si="301"/>
        <v/>
      </c>
      <c r="AX475" s="7" t="str">
        <f t="shared" si="302"/>
        <v/>
      </c>
    </row>
    <row r="476" spans="2:50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0" t="str">
        <f t="shared" si="300"/>
        <v/>
      </c>
      <c r="AW476" s="7" t="str">
        <f t="shared" si="301"/>
        <v/>
      </c>
      <c r="AX476" s="7" t="str">
        <f t="shared" si="302"/>
        <v/>
      </c>
    </row>
    <row r="477" spans="2:50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0" t="str">
        <f t="shared" si="300"/>
        <v/>
      </c>
      <c r="AW477" s="7" t="str">
        <f t="shared" si="301"/>
        <v/>
      </c>
      <c r="AX477" s="7" t="str">
        <f t="shared" si="302"/>
        <v/>
      </c>
    </row>
    <row r="478" spans="2:50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0" t="str">
        <f t="shared" si="300"/>
        <v/>
      </c>
      <c r="AW478" s="7" t="str">
        <f t="shared" si="301"/>
        <v/>
      </c>
      <c r="AX478" s="7" t="str">
        <f t="shared" si="302"/>
        <v/>
      </c>
    </row>
    <row r="479" spans="2:50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0" t="str">
        <f t="shared" si="300"/>
        <v/>
      </c>
      <c r="AW479" s="7" t="str">
        <f t="shared" si="301"/>
        <v/>
      </c>
      <c r="AX479" s="7" t="str">
        <f t="shared" si="302"/>
        <v/>
      </c>
    </row>
    <row r="480" spans="2:50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0" t="str">
        <f t="shared" si="300"/>
        <v/>
      </c>
      <c r="AW480" s="7" t="str">
        <f t="shared" si="301"/>
        <v/>
      </c>
      <c r="AX480" s="7" t="str">
        <f t="shared" si="302"/>
        <v/>
      </c>
    </row>
    <row r="481" spans="2:50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0" t="str">
        <f t="shared" si="300"/>
        <v/>
      </c>
      <c r="AW481" s="7" t="str">
        <f t="shared" si="301"/>
        <v/>
      </c>
      <c r="AX481" s="7" t="str">
        <f t="shared" si="302"/>
        <v/>
      </c>
    </row>
    <row r="482" spans="2:50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0" t="str">
        <f t="shared" si="300"/>
        <v/>
      </c>
      <c r="AW482" s="7" t="str">
        <f t="shared" si="301"/>
        <v/>
      </c>
      <c r="AX482" s="7" t="str">
        <f t="shared" si="302"/>
        <v/>
      </c>
    </row>
    <row r="483" spans="2:50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0" t="str">
        <f t="shared" si="300"/>
        <v/>
      </c>
      <c r="AW483" s="7" t="str">
        <f t="shared" si="301"/>
        <v/>
      </c>
      <c r="AX483" s="7" t="str">
        <f t="shared" si="302"/>
        <v/>
      </c>
    </row>
    <row r="484" spans="2:50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0" t="str">
        <f t="shared" si="300"/>
        <v/>
      </c>
      <c r="AW484" s="7" t="str">
        <f t="shared" si="301"/>
        <v/>
      </c>
      <c r="AX484" s="7" t="str">
        <f t="shared" si="302"/>
        <v/>
      </c>
    </row>
    <row r="485" spans="2:50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0" t="str">
        <f t="shared" si="300"/>
        <v/>
      </c>
      <c r="AW485" s="7" t="str">
        <f t="shared" si="301"/>
        <v/>
      </c>
      <c r="AX485" s="7" t="str">
        <f t="shared" si="302"/>
        <v/>
      </c>
    </row>
    <row r="486" spans="2:50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0" t="str">
        <f t="shared" si="300"/>
        <v/>
      </c>
      <c r="AW486" s="7" t="str">
        <f t="shared" si="301"/>
        <v/>
      </c>
      <c r="AX486" s="7" t="str">
        <f t="shared" si="302"/>
        <v/>
      </c>
    </row>
    <row r="487" spans="2:50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0" t="str">
        <f t="shared" si="300"/>
        <v/>
      </c>
      <c r="AW487" s="7" t="str">
        <f t="shared" si="301"/>
        <v/>
      </c>
      <c r="AX487" s="7" t="str">
        <f t="shared" si="302"/>
        <v/>
      </c>
    </row>
    <row r="488" spans="2:50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0" t="str">
        <f t="shared" si="300"/>
        <v/>
      </c>
      <c r="AW488" s="7" t="str">
        <f t="shared" si="301"/>
        <v/>
      </c>
      <c r="AX488" s="7" t="str">
        <f t="shared" si="302"/>
        <v/>
      </c>
    </row>
    <row r="489" spans="2:50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0" t="str">
        <f t="shared" si="300"/>
        <v/>
      </c>
      <c r="AW489" s="7" t="str">
        <f t="shared" si="301"/>
        <v/>
      </c>
      <c r="AX489" s="7" t="str">
        <f t="shared" si="302"/>
        <v/>
      </c>
    </row>
    <row r="490" spans="2:50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0" t="str">
        <f t="shared" si="300"/>
        <v/>
      </c>
      <c r="AW490" s="7" t="str">
        <f t="shared" si="301"/>
        <v/>
      </c>
      <c r="AX490" s="7" t="str">
        <f t="shared" si="302"/>
        <v/>
      </c>
    </row>
    <row r="491" spans="2:50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0" t="str">
        <f t="shared" si="300"/>
        <v/>
      </c>
      <c r="AW491" s="7" t="str">
        <f t="shared" si="301"/>
        <v/>
      </c>
      <c r="AX491" s="7" t="str">
        <f t="shared" si="302"/>
        <v/>
      </c>
    </row>
    <row r="492" spans="2:50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0" t="str">
        <f t="shared" si="300"/>
        <v/>
      </c>
      <c r="AW492" s="7" t="str">
        <f t="shared" si="301"/>
        <v/>
      </c>
      <c r="AX492" s="7" t="str">
        <f t="shared" si="302"/>
        <v/>
      </c>
    </row>
    <row r="493" spans="2:50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0" t="str">
        <f t="shared" si="300"/>
        <v/>
      </c>
      <c r="AW493" s="7" t="str">
        <f t="shared" si="301"/>
        <v/>
      </c>
      <c r="AX493" s="7" t="str">
        <f t="shared" si="302"/>
        <v/>
      </c>
    </row>
    <row r="494" spans="2:50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0" t="str">
        <f t="shared" si="300"/>
        <v/>
      </c>
      <c r="AW494" s="7" t="str">
        <f t="shared" si="301"/>
        <v/>
      </c>
      <c r="AX494" s="7" t="str">
        <f t="shared" si="302"/>
        <v/>
      </c>
    </row>
    <row r="495" spans="2:50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0" t="str">
        <f t="shared" si="300"/>
        <v/>
      </c>
      <c r="AW495" s="7" t="str">
        <f t="shared" si="301"/>
        <v/>
      </c>
      <c r="AX495" s="7" t="str">
        <f t="shared" si="302"/>
        <v/>
      </c>
    </row>
    <row r="496" spans="2:50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0" t="str">
        <f t="shared" si="300"/>
        <v/>
      </c>
      <c r="AW496" s="7" t="str">
        <f t="shared" si="301"/>
        <v/>
      </c>
      <c r="AX496" s="7" t="str">
        <f t="shared" si="302"/>
        <v/>
      </c>
    </row>
    <row r="497" spans="2:50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0" t="str">
        <f t="shared" si="300"/>
        <v/>
      </c>
      <c r="AW497" s="7" t="str">
        <f t="shared" si="301"/>
        <v/>
      </c>
      <c r="AX497" s="7" t="str">
        <f t="shared" si="302"/>
        <v/>
      </c>
    </row>
    <row r="498" spans="2:50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0" t="str">
        <f t="shared" si="300"/>
        <v/>
      </c>
      <c r="AW498" s="7" t="str">
        <f t="shared" si="301"/>
        <v/>
      </c>
      <c r="AX498" s="7" t="str">
        <f t="shared" si="302"/>
        <v/>
      </c>
    </row>
    <row r="499" spans="2:50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0" t="str">
        <f t="shared" si="300"/>
        <v/>
      </c>
      <c r="AW499" s="7" t="str">
        <f t="shared" si="301"/>
        <v/>
      </c>
      <c r="AX499" s="7" t="str">
        <f t="shared" si="302"/>
        <v/>
      </c>
    </row>
    <row r="500" spans="2:50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0" t="str">
        <f t="shared" si="300"/>
        <v/>
      </c>
      <c r="AW500" s="7" t="str">
        <f t="shared" si="301"/>
        <v/>
      </c>
      <c r="AX500" s="7" t="str">
        <f t="shared" si="302"/>
        <v/>
      </c>
    </row>
    <row r="501" spans="2:50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0" t="str">
        <f t="shared" si="300"/>
        <v/>
      </c>
      <c r="AW501" s="7" t="str">
        <f t="shared" si="301"/>
        <v/>
      </c>
      <c r="AX501" s="7" t="str">
        <f t="shared" si="302"/>
        <v/>
      </c>
    </row>
    <row r="502" spans="2:50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0" t="str">
        <f t="shared" si="300"/>
        <v/>
      </c>
      <c r="AW502" s="7" t="str">
        <f t="shared" si="301"/>
        <v/>
      </c>
      <c r="AX502" s="7" t="str">
        <f t="shared" si="302"/>
        <v/>
      </c>
    </row>
    <row r="503" spans="2:50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0" t="str">
        <f t="shared" si="300"/>
        <v/>
      </c>
      <c r="AW503" s="7" t="str">
        <f t="shared" si="301"/>
        <v/>
      </c>
      <c r="AX503" s="7" t="str">
        <f t="shared" si="302"/>
        <v/>
      </c>
    </row>
    <row r="504" spans="2:50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0" t="str">
        <f t="shared" si="300"/>
        <v/>
      </c>
      <c r="AW504" s="7" t="str">
        <f t="shared" si="301"/>
        <v/>
      </c>
      <c r="AX504" s="7" t="str">
        <f t="shared" si="302"/>
        <v/>
      </c>
    </row>
    <row r="505" spans="2:50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0" t="str">
        <f t="shared" si="300"/>
        <v/>
      </c>
      <c r="AW505" s="7" t="str">
        <f t="shared" si="301"/>
        <v/>
      </c>
      <c r="AX505" s="7" t="str">
        <f t="shared" si="302"/>
        <v/>
      </c>
    </row>
    <row r="506" spans="2:50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0" t="str">
        <f t="shared" ref="AV506:AV569" si="303">IF(AA506&gt;0,IF(AA506&gt;9,(AA506-Z506)/Z506,"&lt;10 cases"),"")</f>
        <v/>
      </c>
      <c r="AW506" s="7" t="str">
        <f t="shared" ref="AW506:AW569" si="304">IF(AA506&gt;0,IF(AA506&gt;9,(AA506-(SUM(V506:Z506)/5))/AA506,"&lt;10 cases"),"")</f>
        <v/>
      </c>
      <c r="AX506" s="7" t="str">
        <f t="shared" ref="AX506:AX569" si="305">IF(AA506&gt;0,IF(AA506&gt;9,(AA506-SUM(Q506:Z506)/10)/AA506,"&lt;10 cases"),"")</f>
        <v/>
      </c>
    </row>
    <row r="507" spans="2:50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0" t="str">
        <f t="shared" si="303"/>
        <v/>
      </c>
      <c r="AW507" s="7" t="str">
        <f t="shared" si="304"/>
        <v/>
      </c>
      <c r="AX507" s="7" t="str">
        <f t="shared" si="305"/>
        <v/>
      </c>
    </row>
    <row r="508" spans="2:50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0" t="str">
        <f t="shared" si="303"/>
        <v/>
      </c>
      <c r="AW508" s="7" t="str">
        <f t="shared" si="304"/>
        <v/>
      </c>
      <c r="AX508" s="7" t="str">
        <f t="shared" si="305"/>
        <v/>
      </c>
    </row>
    <row r="509" spans="2:50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0" t="str">
        <f t="shared" si="303"/>
        <v/>
      </c>
      <c r="AW509" s="7" t="str">
        <f t="shared" si="304"/>
        <v/>
      </c>
      <c r="AX509" s="7" t="str">
        <f t="shared" si="305"/>
        <v/>
      </c>
    </row>
    <row r="510" spans="2:50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0" t="str">
        <f t="shared" si="303"/>
        <v/>
      </c>
      <c r="AW510" s="7" t="str">
        <f t="shared" si="304"/>
        <v/>
      </c>
      <c r="AX510" s="7" t="str">
        <f t="shared" si="305"/>
        <v/>
      </c>
    </row>
    <row r="511" spans="2:50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0" t="str">
        <f t="shared" si="303"/>
        <v/>
      </c>
      <c r="AW511" s="7" t="str">
        <f t="shared" si="304"/>
        <v/>
      </c>
      <c r="AX511" s="7" t="str">
        <f t="shared" si="305"/>
        <v/>
      </c>
    </row>
    <row r="512" spans="2:50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0" t="str">
        <f t="shared" si="303"/>
        <v/>
      </c>
      <c r="AW512" s="7" t="str">
        <f t="shared" si="304"/>
        <v/>
      </c>
      <c r="AX512" s="7" t="str">
        <f t="shared" si="305"/>
        <v/>
      </c>
    </row>
    <row r="513" spans="2:50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0" t="str">
        <f t="shared" si="303"/>
        <v/>
      </c>
      <c r="AW513" s="7" t="str">
        <f t="shared" si="304"/>
        <v/>
      </c>
      <c r="AX513" s="7" t="str">
        <f t="shared" si="305"/>
        <v/>
      </c>
    </row>
    <row r="514" spans="2:50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0" t="str">
        <f t="shared" si="303"/>
        <v/>
      </c>
      <c r="AW514" s="7" t="str">
        <f t="shared" si="304"/>
        <v/>
      </c>
      <c r="AX514" s="7" t="str">
        <f t="shared" si="305"/>
        <v/>
      </c>
    </row>
    <row r="515" spans="2:50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0" t="str">
        <f t="shared" si="303"/>
        <v/>
      </c>
      <c r="AW515" s="7" t="str">
        <f t="shared" si="304"/>
        <v/>
      </c>
      <c r="AX515" s="7" t="str">
        <f t="shared" si="305"/>
        <v/>
      </c>
    </row>
    <row r="516" spans="2:50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0" t="str">
        <f t="shared" si="303"/>
        <v/>
      </c>
      <c r="AW516" s="7" t="str">
        <f t="shared" si="304"/>
        <v/>
      </c>
      <c r="AX516" s="7" t="str">
        <f t="shared" si="305"/>
        <v/>
      </c>
    </row>
    <row r="517" spans="2:50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0" t="str">
        <f t="shared" si="303"/>
        <v/>
      </c>
      <c r="AW517" s="7" t="str">
        <f t="shared" si="304"/>
        <v/>
      </c>
      <c r="AX517" s="7" t="str">
        <f t="shared" si="305"/>
        <v/>
      </c>
    </row>
    <row r="518" spans="2:50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0" t="str">
        <f t="shared" si="303"/>
        <v/>
      </c>
      <c r="AW518" s="7" t="str">
        <f t="shared" si="304"/>
        <v/>
      </c>
      <c r="AX518" s="7" t="str">
        <f t="shared" si="305"/>
        <v/>
      </c>
    </row>
    <row r="519" spans="2:50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0" t="str">
        <f t="shared" si="303"/>
        <v/>
      </c>
      <c r="AW519" s="7" t="str">
        <f t="shared" si="304"/>
        <v/>
      </c>
      <c r="AX519" s="7" t="str">
        <f t="shared" si="305"/>
        <v/>
      </c>
    </row>
    <row r="520" spans="2:50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0" t="str">
        <f t="shared" si="303"/>
        <v/>
      </c>
      <c r="AW520" s="7" t="str">
        <f t="shared" si="304"/>
        <v/>
      </c>
      <c r="AX520" s="7" t="str">
        <f t="shared" si="305"/>
        <v/>
      </c>
    </row>
    <row r="521" spans="2:50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0" t="str">
        <f t="shared" si="303"/>
        <v/>
      </c>
      <c r="AW521" s="7" t="str">
        <f t="shared" si="304"/>
        <v/>
      </c>
      <c r="AX521" s="7" t="str">
        <f t="shared" si="305"/>
        <v/>
      </c>
    </row>
    <row r="522" spans="2:50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0" t="str">
        <f t="shared" si="303"/>
        <v/>
      </c>
      <c r="AW522" s="7" t="str">
        <f t="shared" si="304"/>
        <v/>
      </c>
      <c r="AX522" s="7" t="str">
        <f t="shared" si="305"/>
        <v/>
      </c>
    </row>
    <row r="523" spans="2:50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0" t="str">
        <f t="shared" si="303"/>
        <v/>
      </c>
      <c r="AW523" s="7" t="str">
        <f t="shared" si="304"/>
        <v/>
      </c>
      <c r="AX523" s="7" t="str">
        <f t="shared" si="305"/>
        <v/>
      </c>
    </row>
    <row r="524" spans="2:50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0" t="str">
        <f t="shared" si="303"/>
        <v/>
      </c>
      <c r="AW524" s="7" t="str">
        <f t="shared" si="304"/>
        <v/>
      </c>
      <c r="AX524" s="7" t="str">
        <f t="shared" si="305"/>
        <v/>
      </c>
    </row>
    <row r="525" spans="2:50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0" t="str">
        <f t="shared" si="303"/>
        <v/>
      </c>
      <c r="AW525" s="7" t="str">
        <f t="shared" si="304"/>
        <v/>
      </c>
      <c r="AX525" s="7" t="str">
        <f t="shared" si="305"/>
        <v/>
      </c>
    </row>
    <row r="526" spans="2:50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0" t="str">
        <f t="shared" si="303"/>
        <v/>
      </c>
      <c r="AW526" s="7" t="str">
        <f t="shared" si="304"/>
        <v/>
      </c>
      <c r="AX526" s="7" t="str">
        <f t="shared" si="305"/>
        <v/>
      </c>
    </row>
    <row r="527" spans="2:50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0" t="str">
        <f t="shared" si="303"/>
        <v/>
      </c>
      <c r="AW527" s="7" t="str">
        <f t="shared" si="304"/>
        <v/>
      </c>
      <c r="AX527" s="7" t="str">
        <f t="shared" si="305"/>
        <v/>
      </c>
    </row>
    <row r="528" spans="2:50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0" t="str">
        <f t="shared" si="303"/>
        <v/>
      </c>
      <c r="AW528" s="7" t="str">
        <f t="shared" si="304"/>
        <v/>
      </c>
      <c r="AX528" s="7" t="str">
        <f t="shared" si="305"/>
        <v/>
      </c>
    </row>
    <row r="529" spans="2:50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0" t="str">
        <f t="shared" si="303"/>
        <v/>
      </c>
      <c r="AW529" s="7" t="str">
        <f t="shared" si="304"/>
        <v/>
      </c>
      <c r="AX529" s="7" t="str">
        <f t="shared" si="305"/>
        <v/>
      </c>
    </row>
    <row r="530" spans="2:50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0" t="str">
        <f t="shared" si="303"/>
        <v/>
      </c>
      <c r="AW530" s="7" t="str">
        <f t="shared" si="304"/>
        <v/>
      </c>
      <c r="AX530" s="7" t="str">
        <f t="shared" si="305"/>
        <v/>
      </c>
    </row>
    <row r="531" spans="2:50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0" t="str">
        <f t="shared" si="303"/>
        <v/>
      </c>
      <c r="AW531" s="7" t="str">
        <f t="shared" si="304"/>
        <v/>
      </c>
      <c r="AX531" s="7" t="str">
        <f t="shared" si="305"/>
        <v/>
      </c>
    </row>
    <row r="532" spans="2:50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0" t="str">
        <f t="shared" si="303"/>
        <v/>
      </c>
      <c r="AW532" s="7" t="str">
        <f t="shared" si="304"/>
        <v/>
      </c>
      <c r="AX532" s="7" t="str">
        <f t="shared" si="305"/>
        <v/>
      </c>
    </row>
    <row r="533" spans="2:50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0" t="str">
        <f t="shared" si="303"/>
        <v/>
      </c>
      <c r="AW533" s="7" t="str">
        <f t="shared" si="304"/>
        <v/>
      </c>
      <c r="AX533" s="7" t="str">
        <f t="shared" si="305"/>
        <v/>
      </c>
    </row>
    <row r="534" spans="2:50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0" t="str">
        <f t="shared" si="303"/>
        <v/>
      </c>
      <c r="AW534" s="7" t="str">
        <f t="shared" si="304"/>
        <v/>
      </c>
      <c r="AX534" s="7" t="str">
        <f t="shared" si="305"/>
        <v/>
      </c>
    </row>
    <row r="535" spans="2:50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0" t="str">
        <f t="shared" si="303"/>
        <v/>
      </c>
      <c r="AW535" s="7" t="str">
        <f t="shared" si="304"/>
        <v/>
      </c>
      <c r="AX535" s="7" t="str">
        <f t="shared" si="305"/>
        <v/>
      </c>
    </row>
    <row r="536" spans="2:50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0" t="str">
        <f t="shared" si="303"/>
        <v/>
      </c>
      <c r="AW536" s="7" t="str">
        <f t="shared" si="304"/>
        <v/>
      </c>
      <c r="AX536" s="7" t="str">
        <f t="shared" si="305"/>
        <v/>
      </c>
    </row>
    <row r="537" spans="2:50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0" t="str">
        <f t="shared" si="303"/>
        <v/>
      </c>
      <c r="AW537" s="7" t="str">
        <f t="shared" si="304"/>
        <v/>
      </c>
      <c r="AX537" s="7" t="str">
        <f t="shared" si="305"/>
        <v/>
      </c>
    </row>
    <row r="538" spans="2:50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0" t="str">
        <f t="shared" si="303"/>
        <v/>
      </c>
      <c r="AW538" s="7" t="str">
        <f t="shared" si="304"/>
        <v/>
      </c>
      <c r="AX538" s="7" t="str">
        <f t="shared" si="305"/>
        <v/>
      </c>
    </row>
    <row r="539" spans="2:50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0" t="str">
        <f t="shared" si="303"/>
        <v/>
      </c>
      <c r="AW539" s="7" t="str">
        <f t="shared" si="304"/>
        <v/>
      </c>
      <c r="AX539" s="7" t="str">
        <f t="shared" si="305"/>
        <v/>
      </c>
    </row>
    <row r="540" spans="2:50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0" t="str">
        <f t="shared" si="303"/>
        <v/>
      </c>
      <c r="AW540" s="7" t="str">
        <f t="shared" si="304"/>
        <v/>
      </c>
      <c r="AX540" s="7" t="str">
        <f t="shared" si="305"/>
        <v/>
      </c>
    </row>
    <row r="541" spans="2:50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0" t="str">
        <f t="shared" si="303"/>
        <v/>
      </c>
      <c r="AW541" s="7" t="str">
        <f t="shared" si="304"/>
        <v/>
      </c>
      <c r="AX541" s="7" t="str">
        <f t="shared" si="305"/>
        <v/>
      </c>
    </row>
    <row r="542" spans="2:50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0" t="str">
        <f t="shared" si="303"/>
        <v/>
      </c>
      <c r="AW542" s="7" t="str">
        <f t="shared" si="304"/>
        <v/>
      </c>
      <c r="AX542" s="7" t="str">
        <f t="shared" si="305"/>
        <v/>
      </c>
    </row>
    <row r="543" spans="2:50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0" t="str">
        <f t="shared" si="303"/>
        <v/>
      </c>
      <c r="AW543" s="7" t="str">
        <f t="shared" si="304"/>
        <v/>
      </c>
      <c r="AX543" s="7" t="str">
        <f t="shared" si="305"/>
        <v/>
      </c>
    </row>
    <row r="544" spans="2:50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0" t="str">
        <f t="shared" si="303"/>
        <v/>
      </c>
      <c r="AW544" s="7" t="str">
        <f t="shared" si="304"/>
        <v/>
      </c>
      <c r="AX544" s="7" t="str">
        <f t="shared" si="305"/>
        <v/>
      </c>
    </row>
    <row r="545" spans="2:50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0" t="str">
        <f t="shared" si="303"/>
        <v/>
      </c>
      <c r="AW545" s="7" t="str">
        <f t="shared" si="304"/>
        <v/>
      </c>
      <c r="AX545" s="7" t="str">
        <f t="shared" si="305"/>
        <v/>
      </c>
    </row>
    <row r="546" spans="2:50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0" t="str">
        <f t="shared" si="303"/>
        <v/>
      </c>
      <c r="AW546" s="7" t="str">
        <f t="shared" si="304"/>
        <v/>
      </c>
      <c r="AX546" s="7" t="str">
        <f t="shared" si="305"/>
        <v/>
      </c>
    </row>
    <row r="547" spans="2:50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0" t="str">
        <f t="shared" si="303"/>
        <v/>
      </c>
      <c r="AW547" s="7" t="str">
        <f t="shared" si="304"/>
        <v/>
      </c>
      <c r="AX547" s="7" t="str">
        <f t="shared" si="305"/>
        <v/>
      </c>
    </row>
    <row r="548" spans="2:50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0" t="str">
        <f t="shared" si="303"/>
        <v/>
      </c>
      <c r="AW548" s="7" t="str">
        <f t="shared" si="304"/>
        <v/>
      </c>
      <c r="AX548" s="7" t="str">
        <f t="shared" si="305"/>
        <v/>
      </c>
    </row>
    <row r="549" spans="2:50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0" t="str">
        <f t="shared" si="303"/>
        <v/>
      </c>
      <c r="AW549" s="7" t="str">
        <f t="shared" si="304"/>
        <v/>
      </c>
      <c r="AX549" s="7" t="str">
        <f t="shared" si="305"/>
        <v/>
      </c>
    </row>
    <row r="550" spans="2:50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0" t="str">
        <f t="shared" si="303"/>
        <v/>
      </c>
      <c r="AW550" s="7" t="str">
        <f t="shared" si="304"/>
        <v/>
      </c>
      <c r="AX550" s="7" t="str">
        <f t="shared" si="305"/>
        <v/>
      </c>
    </row>
    <row r="551" spans="2:50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0" t="str">
        <f t="shared" si="303"/>
        <v/>
      </c>
      <c r="AW551" s="7" t="str">
        <f t="shared" si="304"/>
        <v/>
      </c>
      <c r="AX551" s="7" t="str">
        <f t="shared" si="305"/>
        <v/>
      </c>
    </row>
    <row r="552" spans="2:50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0" t="str">
        <f t="shared" si="303"/>
        <v/>
      </c>
      <c r="AW552" s="7" t="str">
        <f t="shared" si="304"/>
        <v/>
      </c>
      <c r="AX552" s="7" t="str">
        <f t="shared" si="305"/>
        <v/>
      </c>
    </row>
    <row r="553" spans="2:50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0" t="str">
        <f t="shared" si="303"/>
        <v/>
      </c>
      <c r="AW553" s="7" t="str">
        <f t="shared" si="304"/>
        <v/>
      </c>
      <c r="AX553" s="7" t="str">
        <f t="shared" si="305"/>
        <v/>
      </c>
    </row>
    <row r="554" spans="2:50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0" t="str">
        <f t="shared" si="303"/>
        <v/>
      </c>
      <c r="AW554" s="7" t="str">
        <f t="shared" si="304"/>
        <v/>
      </c>
      <c r="AX554" s="7" t="str">
        <f t="shared" si="305"/>
        <v/>
      </c>
    </row>
    <row r="555" spans="2:50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0" t="str">
        <f t="shared" si="303"/>
        <v/>
      </c>
      <c r="AW555" s="7" t="str">
        <f t="shared" si="304"/>
        <v/>
      </c>
      <c r="AX555" s="7" t="str">
        <f t="shared" si="305"/>
        <v/>
      </c>
    </row>
    <row r="556" spans="2:50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0" t="str">
        <f t="shared" si="303"/>
        <v/>
      </c>
      <c r="AW556" s="7" t="str">
        <f t="shared" si="304"/>
        <v/>
      </c>
      <c r="AX556" s="7" t="str">
        <f t="shared" si="305"/>
        <v/>
      </c>
    </row>
    <row r="557" spans="2:50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0" t="str">
        <f t="shared" si="303"/>
        <v/>
      </c>
      <c r="AW557" s="7" t="str">
        <f t="shared" si="304"/>
        <v/>
      </c>
      <c r="AX557" s="7" t="str">
        <f t="shared" si="305"/>
        <v/>
      </c>
    </row>
    <row r="558" spans="2:50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0" t="str">
        <f t="shared" si="303"/>
        <v/>
      </c>
      <c r="AW558" s="7" t="str">
        <f t="shared" si="304"/>
        <v/>
      </c>
      <c r="AX558" s="7" t="str">
        <f t="shared" si="305"/>
        <v/>
      </c>
    </row>
    <row r="559" spans="2:50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0" t="str">
        <f t="shared" si="303"/>
        <v/>
      </c>
      <c r="AW559" s="7" t="str">
        <f t="shared" si="304"/>
        <v/>
      </c>
      <c r="AX559" s="7" t="str">
        <f t="shared" si="305"/>
        <v/>
      </c>
    </row>
    <row r="560" spans="2:50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0" t="str">
        <f t="shared" si="303"/>
        <v/>
      </c>
      <c r="AW560" s="7" t="str">
        <f t="shared" si="304"/>
        <v/>
      </c>
      <c r="AX560" s="7" t="str">
        <f t="shared" si="305"/>
        <v/>
      </c>
    </row>
    <row r="561" spans="2:50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0" t="str">
        <f t="shared" si="303"/>
        <v/>
      </c>
      <c r="AW561" s="7" t="str">
        <f t="shared" si="304"/>
        <v/>
      </c>
      <c r="AX561" s="7" t="str">
        <f t="shared" si="305"/>
        <v/>
      </c>
    </row>
    <row r="562" spans="2:50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0" t="str">
        <f t="shared" si="303"/>
        <v/>
      </c>
      <c r="AW562" s="7" t="str">
        <f t="shared" si="304"/>
        <v/>
      </c>
      <c r="AX562" s="7" t="str">
        <f t="shared" si="305"/>
        <v/>
      </c>
    </row>
    <row r="563" spans="2:50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0" t="str">
        <f t="shared" si="303"/>
        <v/>
      </c>
      <c r="AW563" s="7" t="str">
        <f t="shared" si="304"/>
        <v/>
      </c>
      <c r="AX563" s="7" t="str">
        <f t="shared" si="305"/>
        <v/>
      </c>
    </row>
    <row r="564" spans="2:50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0" t="str">
        <f t="shared" si="303"/>
        <v/>
      </c>
      <c r="AW564" s="7" t="str">
        <f t="shared" si="304"/>
        <v/>
      </c>
      <c r="AX564" s="7" t="str">
        <f t="shared" si="305"/>
        <v/>
      </c>
    </row>
    <row r="565" spans="2:50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0" t="str">
        <f t="shared" si="303"/>
        <v/>
      </c>
      <c r="AW565" s="7" t="str">
        <f t="shared" si="304"/>
        <v/>
      </c>
      <c r="AX565" s="7" t="str">
        <f t="shared" si="305"/>
        <v/>
      </c>
    </row>
    <row r="566" spans="2:50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0" t="str">
        <f t="shared" si="303"/>
        <v/>
      </c>
      <c r="AW566" s="7" t="str">
        <f t="shared" si="304"/>
        <v/>
      </c>
      <c r="AX566" s="7" t="str">
        <f t="shared" si="305"/>
        <v/>
      </c>
    </row>
    <row r="567" spans="2:50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0" t="str">
        <f t="shared" si="303"/>
        <v/>
      </c>
      <c r="AW567" s="7" t="str">
        <f t="shared" si="304"/>
        <v/>
      </c>
      <c r="AX567" s="7" t="str">
        <f t="shared" si="305"/>
        <v/>
      </c>
    </row>
    <row r="568" spans="2:50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0" t="str">
        <f t="shared" si="303"/>
        <v/>
      </c>
      <c r="AW568" s="7" t="str">
        <f t="shared" si="304"/>
        <v/>
      </c>
      <c r="AX568" s="7" t="str">
        <f t="shared" si="305"/>
        <v/>
      </c>
    </row>
    <row r="569" spans="2:50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0" t="str">
        <f t="shared" si="303"/>
        <v/>
      </c>
      <c r="AW569" s="7" t="str">
        <f t="shared" si="304"/>
        <v/>
      </c>
      <c r="AX569" s="7" t="str">
        <f t="shared" si="305"/>
        <v/>
      </c>
    </row>
    <row r="570" spans="2:50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0" t="str">
        <f t="shared" ref="AV570:AV633" si="306">IF(AA570&gt;0,IF(AA570&gt;9,(AA570-Z570)/Z570,"&lt;10 cases"),"")</f>
        <v/>
      </c>
      <c r="AW570" s="7" t="str">
        <f t="shared" ref="AW570:AW633" si="307">IF(AA570&gt;0,IF(AA570&gt;9,(AA570-(SUM(V570:Z570)/5))/AA570,"&lt;10 cases"),"")</f>
        <v/>
      </c>
      <c r="AX570" s="7" t="str">
        <f t="shared" ref="AX570:AX633" si="308">IF(AA570&gt;0,IF(AA570&gt;9,(AA570-SUM(Q570:Z570)/10)/AA570,"&lt;10 cases"),"")</f>
        <v/>
      </c>
    </row>
    <row r="571" spans="2:50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0" t="str">
        <f t="shared" si="306"/>
        <v/>
      </c>
      <c r="AW571" s="7" t="str">
        <f t="shared" si="307"/>
        <v/>
      </c>
      <c r="AX571" s="7" t="str">
        <f t="shared" si="308"/>
        <v/>
      </c>
    </row>
    <row r="572" spans="2:50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0" t="str">
        <f t="shared" si="306"/>
        <v/>
      </c>
      <c r="AW572" s="7" t="str">
        <f t="shared" si="307"/>
        <v/>
      </c>
      <c r="AX572" s="7" t="str">
        <f t="shared" si="308"/>
        <v/>
      </c>
    </row>
    <row r="573" spans="2:50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0" t="str">
        <f t="shared" si="306"/>
        <v/>
      </c>
      <c r="AW573" s="7" t="str">
        <f t="shared" si="307"/>
        <v/>
      </c>
      <c r="AX573" s="7" t="str">
        <f t="shared" si="308"/>
        <v/>
      </c>
    </row>
    <row r="574" spans="2:50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0" t="str">
        <f t="shared" si="306"/>
        <v/>
      </c>
      <c r="AW574" s="7" t="str">
        <f t="shared" si="307"/>
        <v/>
      </c>
      <c r="AX574" s="7" t="str">
        <f t="shared" si="308"/>
        <v/>
      </c>
    </row>
    <row r="575" spans="2:50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0" t="str">
        <f t="shared" si="306"/>
        <v/>
      </c>
      <c r="AW575" s="7" t="str">
        <f t="shared" si="307"/>
        <v/>
      </c>
      <c r="AX575" s="7" t="str">
        <f t="shared" si="308"/>
        <v/>
      </c>
    </row>
    <row r="576" spans="2:50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0" t="str">
        <f t="shared" si="306"/>
        <v/>
      </c>
      <c r="AW576" s="7" t="str">
        <f t="shared" si="307"/>
        <v/>
      </c>
      <c r="AX576" s="7" t="str">
        <f t="shared" si="308"/>
        <v/>
      </c>
    </row>
    <row r="577" spans="2:50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0" t="str">
        <f t="shared" si="306"/>
        <v/>
      </c>
      <c r="AW577" s="7" t="str">
        <f t="shared" si="307"/>
        <v/>
      </c>
      <c r="AX577" s="7" t="str">
        <f t="shared" si="308"/>
        <v/>
      </c>
    </row>
    <row r="578" spans="2:50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0" t="str">
        <f t="shared" si="306"/>
        <v/>
      </c>
      <c r="AW578" s="7" t="str">
        <f t="shared" si="307"/>
        <v/>
      </c>
      <c r="AX578" s="7" t="str">
        <f t="shared" si="308"/>
        <v/>
      </c>
    </row>
    <row r="579" spans="2:50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0" t="str">
        <f t="shared" si="306"/>
        <v/>
      </c>
      <c r="AW579" s="7" t="str">
        <f t="shared" si="307"/>
        <v/>
      </c>
      <c r="AX579" s="7" t="str">
        <f t="shared" si="308"/>
        <v/>
      </c>
    </row>
    <row r="580" spans="2:50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0" t="str">
        <f t="shared" si="306"/>
        <v/>
      </c>
      <c r="AW580" s="7" t="str">
        <f t="shared" si="307"/>
        <v/>
      </c>
      <c r="AX580" s="7" t="str">
        <f t="shared" si="308"/>
        <v/>
      </c>
    </row>
    <row r="581" spans="2:50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0" t="str">
        <f t="shared" si="306"/>
        <v/>
      </c>
      <c r="AW581" s="7" t="str">
        <f t="shared" si="307"/>
        <v/>
      </c>
      <c r="AX581" s="7" t="str">
        <f t="shared" si="308"/>
        <v/>
      </c>
    </row>
    <row r="582" spans="2:50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0" t="str">
        <f t="shared" si="306"/>
        <v/>
      </c>
      <c r="AW582" s="7" t="str">
        <f t="shared" si="307"/>
        <v/>
      </c>
      <c r="AX582" s="7" t="str">
        <f t="shared" si="308"/>
        <v/>
      </c>
    </row>
    <row r="583" spans="2:50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0" t="str">
        <f t="shared" si="306"/>
        <v/>
      </c>
      <c r="AW583" s="7" t="str">
        <f t="shared" si="307"/>
        <v/>
      </c>
      <c r="AX583" s="7" t="str">
        <f t="shared" si="308"/>
        <v/>
      </c>
    </row>
    <row r="584" spans="2:50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0" t="str">
        <f t="shared" si="306"/>
        <v/>
      </c>
      <c r="AW584" s="7" t="str">
        <f t="shared" si="307"/>
        <v/>
      </c>
      <c r="AX584" s="7" t="str">
        <f t="shared" si="308"/>
        <v/>
      </c>
    </row>
    <row r="585" spans="2:50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0" t="str">
        <f t="shared" si="306"/>
        <v/>
      </c>
      <c r="AW585" s="7" t="str">
        <f t="shared" si="307"/>
        <v/>
      </c>
      <c r="AX585" s="7" t="str">
        <f t="shared" si="308"/>
        <v/>
      </c>
    </row>
    <row r="586" spans="2:50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0" t="str">
        <f t="shared" si="306"/>
        <v/>
      </c>
      <c r="AW586" s="7" t="str">
        <f t="shared" si="307"/>
        <v/>
      </c>
      <c r="AX586" s="7" t="str">
        <f t="shared" si="308"/>
        <v/>
      </c>
    </row>
    <row r="587" spans="2:50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0" t="str">
        <f t="shared" si="306"/>
        <v/>
      </c>
      <c r="AW587" s="7" t="str">
        <f t="shared" si="307"/>
        <v/>
      </c>
      <c r="AX587" s="7" t="str">
        <f t="shared" si="308"/>
        <v/>
      </c>
    </row>
    <row r="588" spans="2:50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0" t="str">
        <f t="shared" si="306"/>
        <v/>
      </c>
      <c r="AW588" s="7" t="str">
        <f t="shared" si="307"/>
        <v/>
      </c>
      <c r="AX588" s="7" t="str">
        <f t="shared" si="308"/>
        <v/>
      </c>
    </row>
    <row r="589" spans="2:50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0" t="str">
        <f t="shared" si="306"/>
        <v/>
      </c>
      <c r="AW589" s="7" t="str">
        <f t="shared" si="307"/>
        <v/>
      </c>
      <c r="AX589" s="7" t="str">
        <f t="shared" si="308"/>
        <v/>
      </c>
    </row>
    <row r="590" spans="2:50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0" t="str">
        <f t="shared" si="306"/>
        <v/>
      </c>
      <c r="AW590" s="7" t="str">
        <f t="shared" si="307"/>
        <v/>
      </c>
      <c r="AX590" s="7" t="str">
        <f t="shared" si="308"/>
        <v/>
      </c>
    </row>
    <row r="591" spans="2:50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0" t="str">
        <f t="shared" si="306"/>
        <v/>
      </c>
      <c r="AW591" s="7" t="str">
        <f t="shared" si="307"/>
        <v/>
      </c>
      <c r="AX591" s="7" t="str">
        <f t="shared" si="308"/>
        <v/>
      </c>
    </row>
    <row r="592" spans="2:50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0" t="str">
        <f t="shared" si="306"/>
        <v/>
      </c>
      <c r="AW592" s="7" t="str">
        <f t="shared" si="307"/>
        <v/>
      </c>
      <c r="AX592" s="7" t="str">
        <f t="shared" si="308"/>
        <v/>
      </c>
    </row>
    <row r="593" spans="2:50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0" t="str">
        <f t="shared" si="306"/>
        <v/>
      </c>
      <c r="AW593" s="7" t="str">
        <f t="shared" si="307"/>
        <v/>
      </c>
      <c r="AX593" s="7" t="str">
        <f t="shared" si="308"/>
        <v/>
      </c>
    </row>
    <row r="594" spans="2:50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0" t="str">
        <f t="shared" si="306"/>
        <v/>
      </c>
      <c r="AW594" s="7" t="str">
        <f t="shared" si="307"/>
        <v/>
      </c>
      <c r="AX594" s="7" t="str">
        <f t="shared" si="308"/>
        <v/>
      </c>
    </row>
    <row r="595" spans="2:50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0" t="str">
        <f t="shared" si="306"/>
        <v/>
      </c>
      <c r="AW595" s="7" t="str">
        <f t="shared" si="307"/>
        <v/>
      </c>
      <c r="AX595" s="7" t="str">
        <f t="shared" si="308"/>
        <v/>
      </c>
    </row>
    <row r="596" spans="2:50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0" t="str">
        <f t="shared" si="306"/>
        <v/>
      </c>
      <c r="AW596" s="7" t="str">
        <f t="shared" si="307"/>
        <v/>
      </c>
      <c r="AX596" s="7" t="str">
        <f t="shared" si="308"/>
        <v/>
      </c>
    </row>
    <row r="597" spans="2:50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0" t="str">
        <f t="shared" si="306"/>
        <v/>
      </c>
      <c r="AW597" s="7" t="str">
        <f t="shared" si="307"/>
        <v/>
      </c>
      <c r="AX597" s="7" t="str">
        <f t="shared" si="308"/>
        <v/>
      </c>
    </row>
    <row r="598" spans="2:50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0" t="str">
        <f t="shared" si="306"/>
        <v/>
      </c>
      <c r="AW598" s="7" t="str">
        <f t="shared" si="307"/>
        <v/>
      </c>
      <c r="AX598" s="7" t="str">
        <f t="shared" si="308"/>
        <v/>
      </c>
    </row>
    <row r="599" spans="2:50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0" t="str">
        <f t="shared" si="306"/>
        <v/>
      </c>
      <c r="AW599" s="7" t="str">
        <f t="shared" si="307"/>
        <v/>
      </c>
      <c r="AX599" s="7" t="str">
        <f t="shared" si="308"/>
        <v/>
      </c>
    </row>
    <row r="600" spans="2:50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0" t="str">
        <f t="shared" si="306"/>
        <v/>
      </c>
      <c r="AW600" s="7" t="str">
        <f t="shared" si="307"/>
        <v/>
      </c>
      <c r="AX600" s="7" t="str">
        <f t="shared" si="308"/>
        <v/>
      </c>
    </row>
    <row r="601" spans="2:50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0" t="str">
        <f t="shared" si="306"/>
        <v/>
      </c>
      <c r="AW601" s="7" t="str">
        <f t="shared" si="307"/>
        <v/>
      </c>
      <c r="AX601" s="7" t="str">
        <f t="shared" si="308"/>
        <v/>
      </c>
    </row>
    <row r="602" spans="2:50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0" t="str">
        <f t="shared" si="306"/>
        <v/>
      </c>
      <c r="AW602" s="7" t="str">
        <f t="shared" si="307"/>
        <v/>
      </c>
      <c r="AX602" s="7" t="str">
        <f t="shared" si="308"/>
        <v/>
      </c>
    </row>
    <row r="603" spans="2:50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0" t="str">
        <f t="shared" si="306"/>
        <v/>
      </c>
      <c r="AW603" s="7" t="str">
        <f t="shared" si="307"/>
        <v/>
      </c>
      <c r="AX603" s="7" t="str">
        <f t="shared" si="308"/>
        <v/>
      </c>
    </row>
    <row r="604" spans="2:50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0" t="str">
        <f t="shared" si="306"/>
        <v/>
      </c>
      <c r="AW604" s="7" t="str">
        <f t="shared" si="307"/>
        <v/>
      </c>
      <c r="AX604" s="7" t="str">
        <f t="shared" si="308"/>
        <v/>
      </c>
    </row>
    <row r="605" spans="2:50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0" t="str">
        <f t="shared" si="306"/>
        <v/>
      </c>
      <c r="AW605" s="7" t="str">
        <f t="shared" si="307"/>
        <v/>
      </c>
      <c r="AX605" s="7" t="str">
        <f t="shared" si="308"/>
        <v/>
      </c>
    </row>
    <row r="606" spans="2:50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0" t="str">
        <f t="shared" si="306"/>
        <v/>
      </c>
      <c r="AW606" s="7" t="str">
        <f t="shared" si="307"/>
        <v/>
      </c>
      <c r="AX606" s="7" t="str">
        <f t="shared" si="308"/>
        <v/>
      </c>
    </row>
    <row r="607" spans="2:50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0" t="str">
        <f t="shared" si="306"/>
        <v/>
      </c>
      <c r="AW607" s="7" t="str">
        <f t="shared" si="307"/>
        <v/>
      </c>
      <c r="AX607" s="7" t="str">
        <f t="shared" si="308"/>
        <v/>
      </c>
    </row>
    <row r="608" spans="2:50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0" t="str">
        <f t="shared" si="306"/>
        <v/>
      </c>
      <c r="AW608" s="7" t="str">
        <f t="shared" si="307"/>
        <v/>
      </c>
      <c r="AX608" s="7" t="str">
        <f t="shared" si="308"/>
        <v/>
      </c>
    </row>
    <row r="609" spans="2:50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0" t="str">
        <f t="shared" si="306"/>
        <v/>
      </c>
      <c r="AW609" s="7" t="str">
        <f t="shared" si="307"/>
        <v/>
      </c>
      <c r="AX609" s="7" t="str">
        <f t="shared" si="308"/>
        <v/>
      </c>
    </row>
    <row r="610" spans="2:50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0" t="str">
        <f t="shared" si="306"/>
        <v/>
      </c>
      <c r="AW610" s="7" t="str">
        <f t="shared" si="307"/>
        <v/>
      </c>
      <c r="AX610" s="7" t="str">
        <f t="shared" si="308"/>
        <v/>
      </c>
    </row>
    <row r="611" spans="2:50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0" t="str">
        <f t="shared" si="306"/>
        <v/>
      </c>
      <c r="AW611" s="7" t="str">
        <f t="shared" si="307"/>
        <v/>
      </c>
      <c r="AX611" s="7" t="str">
        <f t="shared" si="308"/>
        <v/>
      </c>
    </row>
    <row r="612" spans="2:50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0" t="str">
        <f t="shared" si="306"/>
        <v/>
      </c>
      <c r="AW612" s="7" t="str">
        <f t="shared" si="307"/>
        <v/>
      </c>
      <c r="AX612" s="7" t="str">
        <f t="shared" si="308"/>
        <v/>
      </c>
    </row>
    <row r="613" spans="2:50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0" t="str">
        <f t="shared" si="306"/>
        <v/>
      </c>
      <c r="AW613" s="7" t="str">
        <f t="shared" si="307"/>
        <v/>
      </c>
      <c r="AX613" s="7" t="str">
        <f t="shared" si="308"/>
        <v/>
      </c>
    </row>
    <row r="614" spans="2:50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0" t="str">
        <f t="shared" si="306"/>
        <v/>
      </c>
      <c r="AW614" s="7" t="str">
        <f t="shared" si="307"/>
        <v/>
      </c>
      <c r="AX614" s="7" t="str">
        <f t="shared" si="308"/>
        <v/>
      </c>
    </row>
    <row r="615" spans="2:50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0" t="str">
        <f t="shared" si="306"/>
        <v/>
      </c>
      <c r="AW615" s="7" t="str">
        <f t="shared" si="307"/>
        <v/>
      </c>
      <c r="AX615" s="7" t="str">
        <f t="shared" si="308"/>
        <v/>
      </c>
    </row>
    <row r="616" spans="2:50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0" t="str">
        <f t="shared" si="306"/>
        <v/>
      </c>
      <c r="AW616" s="7" t="str">
        <f t="shared" si="307"/>
        <v/>
      </c>
      <c r="AX616" s="7" t="str">
        <f t="shared" si="308"/>
        <v/>
      </c>
    </row>
    <row r="617" spans="2:50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0" t="str">
        <f t="shared" si="306"/>
        <v/>
      </c>
      <c r="AW617" s="7" t="str">
        <f t="shared" si="307"/>
        <v/>
      </c>
      <c r="AX617" s="7" t="str">
        <f t="shared" si="308"/>
        <v/>
      </c>
    </row>
    <row r="618" spans="2:50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0" t="str">
        <f t="shared" si="306"/>
        <v/>
      </c>
      <c r="AW618" s="7" t="str">
        <f t="shared" si="307"/>
        <v/>
      </c>
      <c r="AX618" s="7" t="str">
        <f t="shared" si="308"/>
        <v/>
      </c>
    </row>
    <row r="619" spans="2:50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0" t="str">
        <f t="shared" si="306"/>
        <v/>
      </c>
      <c r="AW619" s="7" t="str">
        <f t="shared" si="307"/>
        <v/>
      </c>
      <c r="AX619" s="7" t="str">
        <f t="shared" si="308"/>
        <v/>
      </c>
    </row>
    <row r="620" spans="2:50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0" t="str">
        <f t="shared" si="306"/>
        <v/>
      </c>
      <c r="AW620" s="7" t="str">
        <f t="shared" si="307"/>
        <v/>
      </c>
      <c r="AX620" s="7" t="str">
        <f t="shared" si="308"/>
        <v/>
      </c>
    </row>
    <row r="621" spans="2:50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0" t="str">
        <f t="shared" si="306"/>
        <v/>
      </c>
      <c r="AW621" s="7" t="str">
        <f t="shared" si="307"/>
        <v/>
      </c>
      <c r="AX621" s="7" t="str">
        <f t="shared" si="308"/>
        <v/>
      </c>
    </row>
    <row r="622" spans="2:50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0" t="str">
        <f t="shared" si="306"/>
        <v/>
      </c>
      <c r="AW622" s="7" t="str">
        <f t="shared" si="307"/>
        <v/>
      </c>
      <c r="AX622" s="7" t="str">
        <f t="shared" si="308"/>
        <v/>
      </c>
    </row>
    <row r="623" spans="2:50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0" t="str">
        <f t="shared" si="306"/>
        <v/>
      </c>
      <c r="AW623" s="7" t="str">
        <f t="shared" si="307"/>
        <v/>
      </c>
      <c r="AX623" s="7" t="str">
        <f t="shared" si="308"/>
        <v/>
      </c>
    </row>
    <row r="624" spans="2:50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0" t="str">
        <f t="shared" si="306"/>
        <v/>
      </c>
      <c r="AW624" s="7" t="str">
        <f t="shared" si="307"/>
        <v/>
      </c>
      <c r="AX624" s="7" t="str">
        <f t="shared" si="308"/>
        <v/>
      </c>
    </row>
    <row r="625" spans="2:50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0" t="str">
        <f t="shared" si="306"/>
        <v/>
      </c>
      <c r="AW625" s="7" t="str">
        <f t="shared" si="307"/>
        <v/>
      </c>
      <c r="AX625" s="7" t="str">
        <f t="shared" si="308"/>
        <v/>
      </c>
    </row>
    <row r="626" spans="2:50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0" t="str">
        <f t="shared" si="306"/>
        <v/>
      </c>
      <c r="AW626" s="7" t="str">
        <f t="shared" si="307"/>
        <v/>
      </c>
      <c r="AX626" s="7" t="str">
        <f t="shared" si="308"/>
        <v/>
      </c>
    </row>
    <row r="627" spans="2:50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0" t="str">
        <f t="shared" si="306"/>
        <v/>
      </c>
      <c r="AW627" s="7" t="str">
        <f t="shared" si="307"/>
        <v/>
      </c>
      <c r="AX627" s="7" t="str">
        <f t="shared" si="308"/>
        <v/>
      </c>
    </row>
    <row r="628" spans="2:50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0" t="str">
        <f t="shared" si="306"/>
        <v/>
      </c>
      <c r="AW628" s="7" t="str">
        <f t="shared" si="307"/>
        <v/>
      </c>
      <c r="AX628" s="7" t="str">
        <f t="shared" si="308"/>
        <v/>
      </c>
    </row>
    <row r="629" spans="2:50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0" t="str">
        <f t="shared" si="306"/>
        <v/>
      </c>
      <c r="AW629" s="7" t="str">
        <f t="shared" si="307"/>
        <v/>
      </c>
      <c r="AX629" s="7" t="str">
        <f t="shared" si="308"/>
        <v/>
      </c>
    </row>
    <row r="630" spans="2:50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0" t="str">
        <f t="shared" si="306"/>
        <v/>
      </c>
      <c r="AW630" s="7" t="str">
        <f t="shared" si="307"/>
        <v/>
      </c>
      <c r="AX630" s="7" t="str">
        <f t="shared" si="308"/>
        <v/>
      </c>
    </row>
    <row r="631" spans="2:50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0" t="str">
        <f t="shared" si="306"/>
        <v/>
      </c>
      <c r="AW631" s="7" t="str">
        <f t="shared" si="307"/>
        <v/>
      </c>
      <c r="AX631" s="7" t="str">
        <f t="shared" si="308"/>
        <v/>
      </c>
    </row>
    <row r="632" spans="2:50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0" t="str">
        <f t="shared" si="306"/>
        <v/>
      </c>
      <c r="AW632" s="7" t="str">
        <f t="shared" si="307"/>
        <v/>
      </c>
      <c r="AX632" s="7" t="str">
        <f t="shared" si="308"/>
        <v/>
      </c>
    </row>
    <row r="633" spans="2:50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0" t="str">
        <f t="shared" si="306"/>
        <v/>
      </c>
      <c r="AW633" s="7" t="str">
        <f t="shared" si="307"/>
        <v/>
      </c>
      <c r="AX633" s="7" t="str">
        <f t="shared" si="308"/>
        <v/>
      </c>
    </row>
    <row r="634" spans="2:50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0" t="str">
        <f t="shared" ref="AV634:AV666" si="309">IF(AA634&gt;0,IF(AA634&gt;9,(AA634-Z634)/Z634,"&lt;10 cases"),"")</f>
        <v/>
      </c>
      <c r="AW634" s="7" t="str">
        <f t="shared" ref="AW634:AW666" si="310">IF(AA634&gt;0,IF(AA634&gt;9,(AA634-(SUM(V634:Z634)/5))/AA634,"&lt;10 cases"),"")</f>
        <v/>
      </c>
      <c r="AX634" s="7" t="str">
        <f t="shared" ref="AX634:AX666" si="311">IF(AA634&gt;0,IF(AA634&gt;9,(AA634-SUM(Q634:Z634)/10)/AA634,"&lt;10 cases"),"")</f>
        <v/>
      </c>
    </row>
    <row r="635" spans="2:50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0" t="str">
        <f t="shared" si="309"/>
        <v/>
      </c>
      <c r="AW635" s="7" t="str">
        <f t="shared" si="310"/>
        <v/>
      </c>
      <c r="AX635" s="7" t="str">
        <f t="shared" si="311"/>
        <v/>
      </c>
    </row>
    <row r="636" spans="2:50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0" t="str">
        <f t="shared" si="309"/>
        <v/>
      </c>
      <c r="AW636" s="7" t="str">
        <f t="shared" si="310"/>
        <v/>
      </c>
      <c r="AX636" s="7" t="str">
        <f t="shared" si="311"/>
        <v/>
      </c>
    </row>
    <row r="637" spans="2:50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0" t="str">
        <f t="shared" si="309"/>
        <v/>
      </c>
      <c r="AW637" s="7" t="str">
        <f t="shared" si="310"/>
        <v/>
      </c>
      <c r="AX637" s="7" t="str">
        <f t="shared" si="311"/>
        <v/>
      </c>
    </row>
    <row r="638" spans="2:50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0" t="str">
        <f t="shared" si="309"/>
        <v/>
      </c>
      <c r="AW638" s="7" t="str">
        <f t="shared" si="310"/>
        <v/>
      </c>
      <c r="AX638" s="7" t="str">
        <f t="shared" si="311"/>
        <v/>
      </c>
    </row>
    <row r="639" spans="2:50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0" t="str">
        <f t="shared" si="309"/>
        <v/>
      </c>
      <c r="AW639" s="7" t="str">
        <f t="shared" si="310"/>
        <v/>
      </c>
      <c r="AX639" s="7" t="str">
        <f t="shared" si="311"/>
        <v/>
      </c>
    </row>
    <row r="640" spans="2:50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0" t="str">
        <f t="shared" si="309"/>
        <v/>
      </c>
      <c r="AW640" s="7" t="str">
        <f t="shared" si="310"/>
        <v/>
      </c>
      <c r="AX640" s="7" t="str">
        <f t="shared" si="311"/>
        <v/>
      </c>
    </row>
    <row r="641" spans="2:50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0" t="str">
        <f t="shared" si="309"/>
        <v/>
      </c>
      <c r="AW641" s="7" t="str">
        <f t="shared" si="310"/>
        <v/>
      </c>
      <c r="AX641" s="7" t="str">
        <f t="shared" si="311"/>
        <v/>
      </c>
    </row>
    <row r="642" spans="2:50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0" t="str">
        <f t="shared" si="309"/>
        <v/>
      </c>
      <c r="AW642" s="7" t="str">
        <f t="shared" si="310"/>
        <v/>
      </c>
      <c r="AX642" s="7" t="str">
        <f t="shared" si="311"/>
        <v/>
      </c>
    </row>
    <row r="643" spans="2:50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0" t="str">
        <f t="shared" si="309"/>
        <v/>
      </c>
      <c r="AW643" s="7" t="str">
        <f t="shared" si="310"/>
        <v/>
      </c>
      <c r="AX643" s="7" t="str">
        <f t="shared" si="311"/>
        <v/>
      </c>
    </row>
    <row r="644" spans="2:50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0" t="str">
        <f t="shared" si="309"/>
        <v/>
      </c>
      <c r="AW644" s="7" t="str">
        <f t="shared" si="310"/>
        <v/>
      </c>
      <c r="AX644" s="7" t="str">
        <f t="shared" si="311"/>
        <v/>
      </c>
    </row>
    <row r="645" spans="2:50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0" t="str">
        <f t="shared" si="309"/>
        <v/>
      </c>
      <c r="AW645" s="7" t="str">
        <f t="shared" si="310"/>
        <v/>
      </c>
      <c r="AX645" s="7" t="str">
        <f t="shared" si="311"/>
        <v/>
      </c>
    </row>
    <row r="646" spans="2:50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0" t="str">
        <f t="shared" si="309"/>
        <v/>
      </c>
      <c r="AW646" s="7" t="str">
        <f t="shared" si="310"/>
        <v/>
      </c>
      <c r="AX646" s="7" t="str">
        <f t="shared" si="311"/>
        <v/>
      </c>
    </row>
    <row r="647" spans="2:50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0" t="str">
        <f t="shared" si="309"/>
        <v/>
      </c>
      <c r="AW647" s="7" t="str">
        <f t="shared" si="310"/>
        <v/>
      </c>
      <c r="AX647" s="7" t="str">
        <f t="shared" si="311"/>
        <v/>
      </c>
    </row>
    <row r="648" spans="2:50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0" t="str">
        <f t="shared" si="309"/>
        <v/>
      </c>
      <c r="AW648" s="7" t="str">
        <f t="shared" si="310"/>
        <v/>
      </c>
      <c r="AX648" s="7" t="str">
        <f t="shared" si="311"/>
        <v/>
      </c>
    </row>
    <row r="649" spans="2:50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0" t="str">
        <f t="shared" si="309"/>
        <v/>
      </c>
      <c r="AW649" s="7" t="str">
        <f t="shared" si="310"/>
        <v/>
      </c>
      <c r="AX649" s="7" t="str">
        <f t="shared" si="311"/>
        <v/>
      </c>
    </row>
    <row r="650" spans="2:50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0" t="str">
        <f t="shared" si="309"/>
        <v/>
      </c>
      <c r="AW650" s="7" t="str">
        <f t="shared" si="310"/>
        <v/>
      </c>
      <c r="AX650" s="7" t="str">
        <f t="shared" si="311"/>
        <v/>
      </c>
    </row>
    <row r="651" spans="2:50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0" t="str">
        <f t="shared" si="309"/>
        <v/>
      </c>
      <c r="AW651" s="7" t="str">
        <f t="shared" si="310"/>
        <v/>
      </c>
      <c r="AX651" s="7" t="str">
        <f t="shared" si="311"/>
        <v/>
      </c>
    </row>
    <row r="652" spans="2:50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0" t="str">
        <f t="shared" si="309"/>
        <v/>
      </c>
      <c r="AW652" s="7" t="str">
        <f t="shared" si="310"/>
        <v/>
      </c>
      <c r="AX652" s="7" t="str">
        <f t="shared" si="311"/>
        <v/>
      </c>
    </row>
    <row r="653" spans="2:50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0" t="str">
        <f t="shared" si="309"/>
        <v/>
      </c>
      <c r="AW653" s="7" t="str">
        <f t="shared" si="310"/>
        <v/>
      </c>
      <c r="AX653" s="7" t="str">
        <f t="shared" si="311"/>
        <v/>
      </c>
    </row>
    <row r="654" spans="2:50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0" t="str">
        <f t="shared" si="309"/>
        <v/>
      </c>
      <c r="AW654" s="7" t="str">
        <f t="shared" si="310"/>
        <v/>
      </c>
      <c r="AX654" s="7" t="str">
        <f t="shared" si="311"/>
        <v/>
      </c>
    </row>
    <row r="655" spans="2:50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0" t="str">
        <f t="shared" si="309"/>
        <v/>
      </c>
      <c r="AW655" s="7" t="str">
        <f t="shared" si="310"/>
        <v/>
      </c>
      <c r="AX655" s="7" t="str">
        <f t="shared" si="311"/>
        <v/>
      </c>
    </row>
    <row r="656" spans="2:50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0" t="str">
        <f t="shared" si="309"/>
        <v/>
      </c>
      <c r="AW656" s="7" t="str">
        <f t="shared" si="310"/>
        <v/>
      </c>
      <c r="AX656" s="7" t="str">
        <f t="shared" si="311"/>
        <v/>
      </c>
    </row>
    <row r="657" spans="2:50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0" t="str">
        <f t="shared" si="309"/>
        <v/>
      </c>
      <c r="AW657" s="7" t="str">
        <f t="shared" si="310"/>
        <v/>
      </c>
      <c r="AX657" s="7" t="str">
        <f t="shared" si="311"/>
        <v/>
      </c>
    </row>
    <row r="658" spans="2:50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0" t="str">
        <f t="shared" si="309"/>
        <v/>
      </c>
      <c r="AW658" s="7" t="str">
        <f t="shared" si="310"/>
        <v/>
      </c>
      <c r="AX658" s="7" t="str">
        <f t="shared" si="311"/>
        <v/>
      </c>
    </row>
    <row r="659" spans="2:50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0" t="str">
        <f t="shared" si="309"/>
        <v/>
      </c>
      <c r="AW659" s="7" t="str">
        <f t="shared" si="310"/>
        <v/>
      </c>
      <c r="AX659" s="7" t="str">
        <f t="shared" si="311"/>
        <v/>
      </c>
    </row>
    <row r="660" spans="2:50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0" t="str">
        <f t="shared" si="309"/>
        <v/>
      </c>
      <c r="AW660" s="7" t="str">
        <f t="shared" si="310"/>
        <v/>
      </c>
      <c r="AX660" s="7" t="str">
        <f t="shared" si="311"/>
        <v/>
      </c>
    </row>
    <row r="661" spans="2:50">
      <c r="B661" s="17"/>
      <c r="C661" s="17"/>
      <c r="D661" s="17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0" t="str">
        <f t="shared" si="309"/>
        <v/>
      </c>
      <c r="AW661" s="7" t="str">
        <f t="shared" si="310"/>
        <v/>
      </c>
      <c r="AX661" s="7" t="str">
        <f t="shared" si="311"/>
        <v/>
      </c>
    </row>
    <row r="662" spans="2:50">
      <c r="B662" s="17"/>
      <c r="C662" s="17"/>
      <c r="D662" s="17"/>
      <c r="E662" s="17"/>
      <c r="F662" s="17"/>
      <c r="G662" s="17"/>
      <c r="H662" s="17"/>
      <c r="I662" s="1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0" t="str">
        <f t="shared" si="309"/>
        <v/>
      </c>
      <c r="AW662" s="7" t="str">
        <f t="shared" si="310"/>
        <v/>
      </c>
      <c r="AX662" s="7" t="str">
        <f t="shared" si="311"/>
        <v/>
      </c>
    </row>
    <row r="663" spans="2:50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0" t="str">
        <f t="shared" si="309"/>
        <v/>
      </c>
      <c r="AW663" s="7" t="str">
        <f t="shared" si="310"/>
        <v/>
      </c>
      <c r="AX663" s="7" t="str">
        <f t="shared" si="311"/>
        <v/>
      </c>
    </row>
    <row r="664" spans="2:50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0" t="str">
        <f t="shared" si="309"/>
        <v/>
      </c>
      <c r="AW664" s="7" t="str">
        <f t="shared" si="310"/>
        <v/>
      </c>
      <c r="AX664" s="7" t="str">
        <f t="shared" si="311"/>
        <v/>
      </c>
    </row>
    <row r="665" spans="2:50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0" t="str">
        <f t="shared" si="309"/>
        <v/>
      </c>
      <c r="AW665" s="7" t="str">
        <f t="shared" si="310"/>
        <v/>
      </c>
      <c r="AX665" s="7" t="str">
        <f t="shared" si="311"/>
        <v/>
      </c>
    </row>
    <row r="666" spans="2:50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0" t="str">
        <f t="shared" si="309"/>
        <v/>
      </c>
      <c r="AW666" s="7" t="str">
        <f t="shared" si="310"/>
        <v/>
      </c>
      <c r="AX666" s="7" t="str">
        <f t="shared" si="311"/>
        <v/>
      </c>
    </row>
    <row r="667" spans="2:50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</row>
    <row r="668" spans="2:50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</row>
    <row r="669" spans="2:50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</row>
    <row r="670" spans="2:50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</row>
    <row r="671" spans="2:50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</row>
    <row r="672" spans="2:50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</row>
    <row r="673" spans="2:50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</row>
    <row r="674" spans="2:50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</row>
    <row r="675" spans="2:50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</row>
    <row r="676" spans="2:50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</row>
    <row r="677" spans="2:50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</row>
    <row r="678" spans="2:50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</row>
    <row r="679" spans="2:50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</row>
    <row r="680" spans="2:50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</row>
    <row r="681" spans="2:50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</row>
    <row r="682" spans="2:50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</row>
    <row r="683" spans="2:50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</row>
    <row r="684" spans="2:50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</row>
    <row r="685" spans="2:50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</row>
    <row r="686" spans="2:50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</row>
    <row r="687" spans="2:50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</row>
    <row r="688" spans="2:50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</row>
    <row r="689" spans="2:50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</row>
    <row r="690" spans="2:50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</row>
    <row r="691" spans="2:50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</row>
    <row r="692" spans="2:50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</row>
    <row r="693" spans="2:50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</row>
    <row r="694" spans="2:50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</row>
    <row r="695" spans="2:50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</row>
    <row r="696" spans="2:50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</row>
    <row r="697" spans="2:50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</row>
    <row r="698" spans="2:50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</row>
    <row r="699" spans="2:50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</row>
    <row r="700" spans="2:50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</row>
    <row r="701" spans="2:50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</row>
    <row r="702" spans="2:50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</row>
    <row r="703" spans="2:50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</row>
    <row r="704" spans="2:50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</row>
    <row r="705" spans="2:50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</row>
    <row r="706" spans="2:50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</row>
    <row r="707" spans="2:50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</row>
    <row r="708" spans="2:50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</row>
    <row r="709" spans="2:50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</row>
    <row r="710" spans="2:50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</row>
    <row r="711" spans="2:50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</row>
    <row r="712" spans="2:50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</row>
    <row r="713" spans="2:50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</row>
    <row r="714" spans="2:50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</row>
    <row r="715" spans="2:50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</row>
    <row r="716" spans="2:50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</row>
    <row r="717" spans="2:50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</row>
    <row r="718" spans="2:50"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</row>
    <row r="719" spans="2:50"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</row>
  </sheetData>
  <mergeCells count="1">
    <mergeCell ref="B254:BA254"/>
  </mergeCells>
  <phoneticPr fontId="0" type="noConversion"/>
  <printOptions horizontalCentered="1"/>
  <pageMargins left="0.25" right="0.25" top="0.27" bottom="0.3" header="0.3" footer="0.3"/>
  <pageSetup scale="85" orientation="landscape" horizontalDpi="300" verticalDpi="300" r:id="rId1"/>
  <headerFooter alignWithMargins="0">
    <oddFooter>&amp;LUMSL Fact Book&amp;C&amp;F&amp;RLast Updated 2019</oddFooter>
  </headerFooter>
  <rowBreaks count="8" manualBreakCount="8">
    <brk id="57" max="53" man="1"/>
    <brk id="103" max="53" man="1"/>
    <brk id="120" max="53" man="1"/>
    <brk id="148" max="53" man="1"/>
    <brk id="192" max="53" man="1"/>
    <brk id="242" max="53" man="1"/>
    <brk id="287" max="16383" man="1"/>
    <brk id="335" max="53" man="1"/>
  </rowBreaks>
  <ignoredErrors>
    <ignoredError sqref="B219 E270:AJ270 B273:AI273 BA272:BA274 B195:AI195 B79:AJ79 C169 AU199 B199:AK199 E169:AK169 B176:AK178 B207:AK207 B271:AK271 B221:AK225 B209:AK213 B208:AI208 AY275:BA275 AU121:BA123 AU149:BA151 AU154:AU159 AU192:BA194 AU252:BA262 AU286:BA289 AU280:AU285 AU297:BA297 AU291:AU296 AU299:BA299 AU298 BA298 BA291:BA296 AU216:BA217 B128:AK129 C114:D114 B74:AK75 B265:AK265 D263:AK263 B106:C106 E106:AK106 B62:C62 E62:AK62 B274:B275 D274:AI274 B104:AK105 E59:AK60 B59:C60 B197:AK197 AU196:AU197 B167:AK167 B154:AK156 B272 D272:AI272 B192:AK194 B144:AK147 B133 D133:AK133 B299:AK299 B276:C276 E276:AK276 B51:AK55 B17 B257:AK262 E256:AK256 B18:C18 B158:AK158 B157:C157 E157:AK157 B162:AK162 B165:C165 E164:AK166 B14:C14 E17:AK18 B78:AK78 B77:C77 E77:AK77 B159:C160 E159:AK160 B58:AK58 B56:C56 E56:AK56 B99:AK101 AU58 AU98:AU101 AU104:AU105 BA139 BA195:BA197 BA213 BA218:BA220 AU244:BA246 BA263:BA264 AY265:BA265 AY280:AZ280 BA279:BA285 B220:C220 E219:AK220 B21:AK23 AU27:AU29 BA98:BA101 AU142:AU148 BA142:BA148 BA222:BA226 BA17:BA18 B279:AK281 C291:D291 AU225:AU226 BA199 AU114:AU120 BA114:BA120 BA58:BA59 AU21 AZ189 B244:AK255 C226:AK226 B152 D152:AK152 B188:AK191 B187:AE187 AH187:AK187 AU162 C164 AU68 B68:AK68 C72:AK72 E13:AK14 BA13:BA14 AU221:AU222 AU251 AY271:BA271 BA270 AY16:AZ16 AU17:AU18 AY52:AZ52 BA45:BA48 AU45:AU48 B31:AK32 C50:AK50 B277:AK277 BA276:BA277 D275:AK275 AY79:AZ83 BA88:BA96 AU88:AU96 B89:AK96 C98:AK98 AY58:AZ58 AY19:AZ21 AY23:AZ26 AY34:AZ34 AY48:AZ48 AY63:AZ63 AY68:BA68 AY71:AZ71 AY86:AZ86 AY92:AZ92 AY96:AZ96 AY113:AZ113 AZ154 AZ156 AZ161:AZ163 BA169 AU207:AU215 B63:AK64 AU152 AU164:AU167 BA165 B227:AK227 AU227:BA227 AU14 AU63:AU64 BA208:BA211 AZ167:BA167 AV221:BA221 B45:AK48 B40 AY38:AZ40 AU31:AU40 BA27:BA40 AY106:AZ106 AY104:BA104 B186:AK186 B185:AI185 AU169:AU170 B170:AK170 B172:AK174 BA133:BA134 B134:AK134 B140:AK140 C142:AK142 AU74:AU75 BA74:BA75 B27:AK29 B24:B25 D25:AB25 B80:B81 D80:AB80 AU172:AU174 AU183:AU191 AV183:AZ183 AU218 B66:C66 AU66 E66:AK66 B183:AK184 B180:C180 E180:AK180 BA62:BA66 B34:AK38 B33 D33:AK33 C196:AK196 B284:AK289 B282:AH282 B283:AI283 BA50:BA56 AU50:AU56 B166 AV118:AZ118 AV120:AZ120 AV146:AX146 AW141:AX141 AV189:AX189 AV191:BA191 AV212:BA212 AV214:BA215 AY250 D39:AB39 C88:AK88 AU176:AU178 BA179 B181:AK181 AU180:AU181 AU133:AU134 BA72 AU72 AX284 AU140:BA140 AV152:AX182 AV218:AX220 AV238:AX238 AU247:AX250 AV263:AX282 AU139 B139:AI139 B149:AK151 B148:AI148 B143:AH143 AU124:AX126 BA124:BA126 B115:D115 AU128:AU129 BA128:BA129 AV127:AX139 B215:AK218 B214:AJ214 AV196:AX199 AV207:BA207 AV200:AW205 BA105:BA106 AV113:AX117 AV231:AX232 AV13:AX26 B26:AK26 BA21:BA26 AU23:AU26 AV41:AX43 BA77:BA86 AU77:AU86 B83:AK86 AV45:AX107 B292:D298 D82:AE82 E81:AB81 B120:AK126 B116:D116 AV27:AX40 D40:H40 Y40:AD40 D24:AB24 B117:D1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UMSL</vt:lpstr>
      <vt:lpstr>UMSL!Print_Area</vt:lpstr>
      <vt:lpstr>UMSL!Print_Titles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Chatman</dc:creator>
  <cp:lastModifiedBy>Thaxton, Mary</cp:lastModifiedBy>
  <cp:lastPrinted>2019-12-13T19:16:20Z</cp:lastPrinted>
  <dcterms:created xsi:type="dcterms:W3CDTF">1998-09-16T18:29:56Z</dcterms:created>
  <dcterms:modified xsi:type="dcterms:W3CDTF">2019-12-13T21:05:45Z</dcterms:modified>
</cp:coreProperties>
</file>