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1340" windowHeight="8835"/>
  </bookViews>
  <sheets>
    <sheet name="$" sheetId="5" r:id="rId1"/>
  </sheets>
  <definedNames>
    <definedName name="_xlnm.Print_Area" localSheetId="0">'$'!$A$1:$R$81</definedName>
  </definedNames>
  <calcPr calcId="145621"/>
</workbook>
</file>

<file path=xl/calcChain.xml><?xml version="1.0" encoding="utf-8"?>
<calcChain xmlns="http://schemas.openxmlformats.org/spreadsheetml/2006/main">
  <c r="Q32" i="5" l="1"/>
  <c r="Q31" i="5"/>
  <c r="Q29" i="5"/>
  <c r="Q15" i="5"/>
  <c r="Q14" i="5"/>
  <c r="Q13" i="5"/>
  <c r="P32" i="5"/>
  <c r="P31" i="5"/>
  <c r="P33" i="5" s="1"/>
  <c r="P29" i="5"/>
  <c r="P23" i="5"/>
  <c r="P15" i="5"/>
  <c r="P14" i="5"/>
  <c r="P16" i="5" s="1"/>
  <c r="P24" i="5" s="1"/>
  <c r="P34" i="5" s="1"/>
  <c r="P36" i="5" s="1"/>
  <c r="P13" i="5"/>
  <c r="O32" i="5" l="1"/>
  <c r="O31" i="5"/>
  <c r="O30" i="5"/>
  <c r="O29" i="5"/>
  <c r="O33" i="5" s="1"/>
  <c r="O23" i="5"/>
  <c r="O15" i="5"/>
  <c r="O14" i="5"/>
  <c r="O13" i="5"/>
  <c r="O16" i="5" l="1"/>
  <c r="O24" i="5" s="1"/>
  <c r="O34" i="5" s="1"/>
  <c r="O36" i="5" s="1"/>
  <c r="N32" i="5" l="1"/>
  <c r="N31" i="5"/>
  <c r="N29" i="5" l="1"/>
  <c r="N30" i="5"/>
  <c r="N23" i="5"/>
  <c r="N15" i="5"/>
  <c r="N14" i="5"/>
  <c r="N13" i="5"/>
  <c r="N16" i="5" l="1"/>
  <c r="N33" i="5"/>
  <c r="N24" i="5"/>
  <c r="G31" i="5"/>
  <c r="H31" i="5"/>
  <c r="G28" i="5"/>
  <c r="G29" i="5"/>
  <c r="G15" i="5"/>
  <c r="G14" i="5"/>
  <c r="G13" i="5"/>
  <c r="H28" i="5"/>
  <c r="H32" i="5"/>
  <c r="H29" i="5"/>
  <c r="H13" i="5"/>
  <c r="H15" i="5"/>
  <c r="H14" i="5"/>
  <c r="I32" i="5"/>
  <c r="I31" i="5"/>
  <c r="I29" i="5"/>
  <c r="I15" i="5"/>
  <c r="I14" i="5"/>
  <c r="I13" i="5"/>
  <c r="J32" i="5"/>
  <c r="J31" i="5"/>
  <c r="J29" i="5"/>
  <c r="J15" i="5"/>
  <c r="J14" i="5"/>
  <c r="J13" i="5"/>
  <c r="K32" i="5"/>
  <c r="K31" i="5"/>
  <c r="K29" i="5"/>
  <c r="K15" i="5"/>
  <c r="K14" i="5"/>
  <c r="K13" i="5"/>
  <c r="L32" i="5"/>
  <c r="L31" i="5"/>
  <c r="L29" i="5"/>
  <c r="L15" i="5"/>
  <c r="L14" i="5"/>
  <c r="L13" i="5"/>
  <c r="M32" i="5"/>
  <c r="M31" i="5"/>
  <c r="M30" i="5"/>
  <c r="M29" i="5"/>
  <c r="M15" i="5"/>
  <c r="M14" i="5"/>
  <c r="M13" i="5"/>
  <c r="M23" i="5"/>
  <c r="J33" i="5"/>
  <c r="H33" i="5"/>
  <c r="Q23" i="5"/>
  <c r="L23" i="5"/>
  <c r="K23" i="5"/>
  <c r="J23" i="5"/>
  <c r="I23" i="5"/>
  <c r="H23" i="5"/>
  <c r="G23" i="5"/>
  <c r="L16" i="5"/>
  <c r="J16" i="5"/>
  <c r="H16" i="5"/>
  <c r="G33" i="5" l="1"/>
  <c r="N34" i="5"/>
  <c r="N36" i="5" s="1"/>
  <c r="Q16" i="5"/>
  <c r="Q24" i="5" s="1"/>
  <c r="K16" i="5"/>
  <c r="K33" i="5"/>
  <c r="I16" i="5"/>
  <c r="I33" i="5"/>
  <c r="M33" i="5"/>
  <c r="L33" i="5"/>
  <c r="G16" i="5"/>
  <c r="G24" i="5"/>
  <c r="G34" i="5" s="1"/>
  <c r="G36" i="5" s="1"/>
  <c r="H24" i="5"/>
  <c r="H34" i="5" s="1"/>
  <c r="H36" i="5" s="1"/>
  <c r="I24" i="5"/>
  <c r="I34" i="5" s="1"/>
  <c r="I36" i="5" s="1"/>
  <c r="J24" i="5"/>
  <c r="J34" i="5" s="1"/>
  <c r="J36" i="5" s="1"/>
  <c r="K24" i="5"/>
  <c r="K34" i="5" s="1"/>
  <c r="K36" i="5" s="1"/>
  <c r="L24" i="5"/>
  <c r="L34" i="5" s="1"/>
  <c r="L36" i="5" s="1"/>
  <c r="M16" i="5"/>
  <c r="Q33" i="5"/>
  <c r="M24" i="5" l="1"/>
  <c r="M34" i="5" s="1"/>
  <c r="M36" i="5" s="1"/>
  <c r="Q34" i="5"/>
  <c r="Q36" i="5" s="1"/>
</calcChain>
</file>

<file path=xl/sharedStrings.xml><?xml version="1.0" encoding="utf-8"?>
<sst xmlns="http://schemas.openxmlformats.org/spreadsheetml/2006/main" count="44" uniqueCount="44">
  <si>
    <t>Auxiliary Enterprises</t>
  </si>
  <si>
    <t>State Appropriations</t>
  </si>
  <si>
    <t>Investment and Endowment Income (Loss)</t>
  </si>
  <si>
    <t>Increase (Decrease) in Net Assets</t>
  </si>
  <si>
    <t>Net Assets, Beginning of Year, as Adjusted</t>
  </si>
  <si>
    <t>Private Gifts (operating and endowment)</t>
  </si>
  <si>
    <t>Capital Appropriations, Gifts and Grants</t>
  </si>
  <si>
    <t>Transfers In (Out)</t>
  </si>
  <si>
    <t>All Other Nonoperating Revenues (Expenses) (net)</t>
  </si>
  <si>
    <t>Operating Revenues:</t>
  </si>
  <si>
    <t>All Other (net)</t>
  </si>
  <si>
    <t>Total Operating Revenues</t>
  </si>
  <si>
    <t>Salaries and Wages</t>
  </si>
  <si>
    <t>Staff Benefits</t>
  </si>
  <si>
    <t>Scholarships and Fellowships</t>
  </si>
  <si>
    <t>Depreciation &amp; Capital Expense</t>
  </si>
  <si>
    <t>Operating Loss</t>
  </si>
  <si>
    <t>Nonoperating Revenues, Expenses and Other Changes:</t>
  </si>
  <si>
    <t>Category</t>
  </si>
  <si>
    <t>Supplies, Services and Other Operating Expenses</t>
  </si>
  <si>
    <t>Total Nonoperating Revenues, Expenses and Other Changes:</t>
  </si>
  <si>
    <t>Less: Operating Expenses:</t>
  </si>
  <si>
    <t>UNIVERSITY OF MISSOURI-ST. LOUIS</t>
  </si>
  <si>
    <t>(in thousands of dollars)</t>
  </si>
  <si>
    <t>FY2002</t>
  </si>
  <si>
    <t>FY2003</t>
  </si>
  <si>
    <t>FY2004</t>
  </si>
  <si>
    <t>FY2005</t>
  </si>
  <si>
    <t>FY2006</t>
  </si>
  <si>
    <t>FY2007</t>
  </si>
  <si>
    <t>FY2008</t>
  </si>
  <si>
    <t>Note:  Certain prior year balances may have been reclassified to conform with a subsequent year's presentation. Thus, total operating expenses in this table may not agree with amounts reported in Table 4-4.</t>
  </si>
  <si>
    <t>TABLE 4-2. REVENUES, EXPENSES AND CHANGES IN NET ASSETS</t>
  </si>
  <si>
    <t>Grants and Contracts (see also Table 8-1)</t>
  </si>
  <si>
    <t>Net Assets, End of Year (see also Table 4-1)</t>
  </si>
  <si>
    <t>Net Tuition and Fees (see also Table 4-3 )</t>
  </si>
  <si>
    <t>*Starting in FY2010, Federal Pell Grants were recorded as nonoperating revenues instead of as operating revenues. Prior years, other than FY2009, were not restated.</t>
  </si>
  <si>
    <t>Federal Pell Grants</t>
  </si>
  <si>
    <t>FY2009*</t>
  </si>
  <si>
    <t>FY2010*</t>
  </si>
  <si>
    <r>
      <rPr>
        <b/>
        <sz val="10"/>
        <rFont val="Times New Roman"/>
        <family val="1"/>
      </rPr>
      <t>Total Operating Expenses</t>
    </r>
    <r>
      <rPr>
        <sz val="10"/>
        <rFont val="Times New Roman"/>
        <family val="1"/>
      </rPr>
      <t xml:space="preserve"> (see also Table 4-4)</t>
    </r>
  </si>
  <si>
    <t>FY2011*</t>
  </si>
  <si>
    <t>Source:  University of Missouri System Financial Report and Supplemental Schedules (most recent FY2012)</t>
  </si>
  <si>
    <t>FY2012*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</si>
</sst>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</cellStyleXfs>
  <cellXfs count="68">
    <xf numFmtId="0" fontId="0" fillId="0" borderId="0" xfId="0"/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0" xfId="0" applyFont="1" applyBorder="1"/>
    <xf numFmtId="0" fontId="3" fillId="0" borderId="6" xfId="0" applyFont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9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37" fontId="3" fillId="0" borderId="1" xfId="0" applyNumberFormat="1" applyFont="1" applyBorder="1" applyAlignment="1">
      <alignment horizontal="right"/>
    </xf>
    <xf numFmtId="0" fontId="5" fillId="0" borderId="0" xfId="0" applyFont="1" applyBorder="1"/>
    <xf numFmtId="0" fontId="0" fillId="0" borderId="10" xfId="0" applyBorder="1"/>
    <xf numFmtId="0" fontId="0" fillId="0" borderId="1" xfId="0" applyBorder="1"/>
    <xf numFmtId="0" fontId="0" fillId="0" borderId="11" xfId="0" applyBorder="1"/>
    <xf numFmtId="0" fontId="0" fillId="0" borderId="5" xfId="0" applyBorder="1"/>
    <xf numFmtId="0" fontId="5" fillId="0" borderId="8" xfId="0" applyFont="1" applyBorder="1"/>
    <xf numFmtId="0" fontId="5" fillId="0" borderId="0" xfId="0" applyFont="1"/>
    <xf numFmtId="0" fontId="5" fillId="0" borderId="9" xfId="0" applyFont="1" applyBorder="1"/>
    <xf numFmtId="0" fontId="6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 vertical="top" indent="1"/>
    </xf>
    <xf numFmtId="165" fontId="5" fillId="0" borderId="0" xfId="2" applyNumberFormat="1" applyFont="1" applyBorder="1" applyAlignment="1">
      <alignment vertical="top"/>
    </xf>
    <xf numFmtId="164" fontId="5" fillId="0" borderId="0" xfId="1" applyNumberFormat="1" applyFont="1" applyBorder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164" fontId="5" fillId="0" borderId="1" xfId="1" applyNumberFormat="1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64" fontId="3" fillId="0" borderId="2" xfId="1" applyNumberFormat="1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vertical="top"/>
    </xf>
    <xf numFmtId="164" fontId="5" fillId="0" borderId="2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5" fillId="0" borderId="0" xfId="0" applyFont="1" applyBorder="1" applyAlignment="1">
      <alignment horizontal="left" indent="1"/>
    </xf>
    <xf numFmtId="164" fontId="5" fillId="0" borderId="0" xfId="1" applyNumberFormat="1" applyFont="1" applyBorder="1"/>
    <xf numFmtId="164" fontId="5" fillId="0" borderId="1" xfId="1" applyNumberFormat="1" applyFont="1" applyBorder="1"/>
    <xf numFmtId="164" fontId="5" fillId="0" borderId="2" xfId="1" applyNumberFormat="1" applyFont="1" applyBorder="1"/>
    <xf numFmtId="164" fontId="3" fillId="0" borderId="0" xfId="0" applyNumberFormat="1" applyFont="1" applyBorder="1" applyAlignment="1">
      <alignment vertical="top"/>
    </xf>
    <xf numFmtId="165" fontId="5" fillId="0" borderId="3" xfId="2" applyNumberFormat="1" applyFont="1" applyBorder="1" applyAlignment="1">
      <alignment vertical="top"/>
    </xf>
    <xf numFmtId="164" fontId="3" fillId="0" borderId="2" xfId="1" applyNumberFormat="1" applyFont="1" applyFill="1" applyBorder="1" applyAlignment="1">
      <alignment vertical="top"/>
    </xf>
    <xf numFmtId="0" fontId="8" fillId="0" borderId="0" xfId="3" applyFont="1" applyBorder="1" applyAlignment="1" applyProtection="1">
      <alignment vertical="top"/>
    </xf>
    <xf numFmtId="0" fontId="5" fillId="0" borderId="0" xfId="0" applyFont="1" applyAlignment="1">
      <alignment horizontal="left" indent="1"/>
    </xf>
    <xf numFmtId="165" fontId="0" fillId="0" borderId="0" xfId="0" applyNumberFormat="1" applyBorder="1"/>
    <xf numFmtId="165" fontId="5" fillId="0" borderId="0" xfId="0" applyNumberFormat="1" applyFont="1" applyBorder="1"/>
    <xf numFmtId="37" fontId="3" fillId="0" borderId="1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vertical="top"/>
    </xf>
    <xf numFmtId="164" fontId="5" fillId="0" borderId="2" xfId="0" applyNumberFormat="1" applyFont="1" applyFill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164" fontId="5" fillId="0" borderId="0" xfId="1" applyNumberFormat="1" applyFont="1" applyFill="1" applyBorder="1"/>
    <xf numFmtId="164" fontId="5" fillId="0" borderId="1" xfId="1" applyNumberFormat="1" applyFont="1" applyFill="1" applyBorder="1"/>
    <xf numFmtId="164" fontId="5" fillId="0" borderId="2" xfId="1" applyNumberFormat="1" applyFont="1" applyFill="1" applyBorder="1"/>
    <xf numFmtId="164" fontId="3" fillId="0" borderId="0" xfId="0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9" fontId="5" fillId="0" borderId="0" xfId="4" applyFont="1"/>
    <xf numFmtId="0" fontId="2" fillId="0" borderId="0" xfId="0" applyFont="1" applyBorder="1" applyAlignment="1">
      <alignment horizontal="left" wrapTex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Operating Revenues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'$'!$B$12</c:f>
              <c:strCache>
                <c:ptCount val="1"/>
                <c:pt idx="0">
                  <c:v>Net Tuition and Fees (see also Table 4-3 )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'$'!$G$12:$Q$12</c:f>
              <c:numCache>
                <c:formatCode>_("$"* #,##0_);_("$"* \(#,##0\);_("$"* "-"??_);_(@_)</c:formatCode>
                <c:ptCount val="10"/>
                <c:pt idx="0">
                  <c:v>50203</c:v>
                </c:pt>
                <c:pt idx="1">
                  <c:v>60307</c:v>
                </c:pt>
                <c:pt idx="2">
                  <c:v>62439</c:v>
                </c:pt>
                <c:pt idx="3">
                  <c:v>64727</c:v>
                </c:pt>
                <c:pt idx="4">
                  <c:v>68758</c:v>
                </c:pt>
                <c:pt idx="5">
                  <c:v>72112</c:v>
                </c:pt>
                <c:pt idx="6">
                  <c:v>75896</c:v>
                </c:pt>
                <c:pt idx="7">
                  <c:v>77429</c:v>
                </c:pt>
                <c:pt idx="8">
                  <c:v>78497</c:v>
                </c:pt>
                <c:pt idx="9">
                  <c:v>81651</c:v>
                </c:pt>
              </c:numCache>
            </c:numRef>
          </c:val>
        </c:ser>
        <c:ser>
          <c:idx val="1"/>
          <c:order val="1"/>
          <c:tx>
            <c:strRef>
              <c:f>'$'!$B$13</c:f>
              <c:strCache>
                <c:ptCount val="1"/>
                <c:pt idx="0">
                  <c:v>Grants and Contracts (see also Table 8-1)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'$'!$G$13:$Q$13</c:f>
              <c:numCache>
                <c:formatCode>_(* #,##0_);_(* \(#,##0\);_(* "-"??_);_(@_)</c:formatCode>
                <c:ptCount val="10"/>
                <c:pt idx="0">
                  <c:v>23745</c:v>
                </c:pt>
                <c:pt idx="1">
                  <c:v>21715</c:v>
                </c:pt>
                <c:pt idx="2">
                  <c:v>24023</c:v>
                </c:pt>
                <c:pt idx="3">
                  <c:v>25818</c:v>
                </c:pt>
                <c:pt idx="4">
                  <c:v>27800</c:v>
                </c:pt>
                <c:pt idx="5">
                  <c:v>31762</c:v>
                </c:pt>
                <c:pt idx="6">
                  <c:v>20414</c:v>
                </c:pt>
                <c:pt idx="7">
                  <c:v>17680</c:v>
                </c:pt>
                <c:pt idx="8">
                  <c:v>23634</c:v>
                </c:pt>
                <c:pt idx="9">
                  <c:v>22950</c:v>
                </c:pt>
              </c:numCache>
            </c:numRef>
          </c:val>
        </c:ser>
        <c:ser>
          <c:idx val="2"/>
          <c:order val="2"/>
          <c:tx>
            <c:strRef>
              <c:f>'$'!$B$14</c:f>
              <c:strCache>
                <c:ptCount val="1"/>
                <c:pt idx="0">
                  <c:v>Auxiliary Enterprises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'$'!$G$14:$Q$14</c:f>
              <c:numCache>
                <c:formatCode>_(* #,##0_);_(* \(#,##0\);_(* "-"??_);_(@_)</c:formatCode>
                <c:ptCount val="10"/>
                <c:pt idx="0">
                  <c:v>22169</c:v>
                </c:pt>
                <c:pt idx="1">
                  <c:v>23189</c:v>
                </c:pt>
                <c:pt idx="2">
                  <c:v>23821</c:v>
                </c:pt>
                <c:pt idx="3">
                  <c:v>23846</c:v>
                </c:pt>
                <c:pt idx="4">
                  <c:v>25627</c:v>
                </c:pt>
                <c:pt idx="5">
                  <c:v>26253</c:v>
                </c:pt>
                <c:pt idx="6">
                  <c:v>25253</c:v>
                </c:pt>
                <c:pt idx="7">
                  <c:v>25228</c:v>
                </c:pt>
                <c:pt idx="8">
                  <c:v>19538</c:v>
                </c:pt>
                <c:pt idx="9">
                  <c:v>18017</c:v>
                </c:pt>
              </c:numCache>
            </c:numRef>
          </c:val>
        </c:ser>
        <c:ser>
          <c:idx val="3"/>
          <c:order val="3"/>
          <c:tx>
            <c:strRef>
              <c:f>'$'!$B$15</c:f>
              <c:strCache>
                <c:ptCount val="1"/>
                <c:pt idx="0">
                  <c:v>All Other (net)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'$'!$G$15:$Q$15</c:f>
              <c:numCache>
                <c:formatCode>_(* #,##0_);_(* \(#,##0\);_(* "-"??_);_(@_)</c:formatCode>
                <c:ptCount val="10"/>
                <c:pt idx="0">
                  <c:v>2470</c:v>
                </c:pt>
                <c:pt idx="1">
                  <c:v>3596</c:v>
                </c:pt>
                <c:pt idx="2">
                  <c:v>3702</c:v>
                </c:pt>
                <c:pt idx="3">
                  <c:v>5904</c:v>
                </c:pt>
                <c:pt idx="4">
                  <c:v>7839</c:v>
                </c:pt>
                <c:pt idx="5">
                  <c:v>5017</c:v>
                </c:pt>
                <c:pt idx="6">
                  <c:v>4892</c:v>
                </c:pt>
                <c:pt idx="7">
                  <c:v>4938</c:v>
                </c:pt>
                <c:pt idx="8">
                  <c:v>4614</c:v>
                </c:pt>
                <c:pt idx="9">
                  <c:v>4851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43872"/>
        <c:axId val="51499392"/>
      </c:barChart>
      <c:catAx>
        <c:axId val="50943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51499392"/>
        <c:crosses val="autoZero"/>
        <c:auto val="1"/>
        <c:lblAlgn val="ctr"/>
        <c:lblOffset val="100"/>
        <c:noMultiLvlLbl val="0"/>
      </c:catAx>
      <c:valAx>
        <c:axId val="51499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(In Thousands)</a:t>
                </a:r>
              </a:p>
            </c:rich>
          </c:tx>
          <c:layout/>
          <c:overlay val="0"/>
        </c:title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50943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 cap="flat"/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Operating Expenses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'$'!$B$18</c:f>
              <c:strCache>
                <c:ptCount val="1"/>
                <c:pt idx="0">
                  <c:v>Salaries and Wages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'$'!$G$18:$Q$18</c:f>
              <c:numCache>
                <c:formatCode>_(* #,##0_);_(* \(#,##0\);_(* "-"??_);_(@_)</c:formatCode>
                <c:ptCount val="10"/>
                <c:pt idx="0">
                  <c:v>80687</c:v>
                </c:pt>
                <c:pt idx="1">
                  <c:v>83344</c:v>
                </c:pt>
                <c:pt idx="2">
                  <c:v>87924</c:v>
                </c:pt>
                <c:pt idx="3">
                  <c:v>90185</c:v>
                </c:pt>
                <c:pt idx="4">
                  <c:v>95878</c:v>
                </c:pt>
                <c:pt idx="5">
                  <c:v>100482</c:v>
                </c:pt>
                <c:pt idx="6">
                  <c:v>102953</c:v>
                </c:pt>
                <c:pt idx="7">
                  <c:v>100228</c:v>
                </c:pt>
                <c:pt idx="8">
                  <c:v>103676</c:v>
                </c:pt>
                <c:pt idx="9">
                  <c:v>105445</c:v>
                </c:pt>
              </c:numCache>
            </c:numRef>
          </c:val>
        </c:ser>
        <c:ser>
          <c:idx val="1"/>
          <c:order val="1"/>
          <c:tx>
            <c:strRef>
              <c:f>'$'!$B$19</c:f>
              <c:strCache>
                <c:ptCount val="1"/>
                <c:pt idx="0">
                  <c:v>Staff Benefits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'$'!$G$19:$Q$19</c:f>
              <c:numCache>
                <c:formatCode>_(* #,##0_);_(* \(#,##0\);_(* "-"??_);_(@_)</c:formatCode>
                <c:ptCount val="10"/>
                <c:pt idx="0">
                  <c:v>14921</c:v>
                </c:pt>
                <c:pt idx="1">
                  <c:v>19331</c:v>
                </c:pt>
                <c:pt idx="2">
                  <c:v>20254</c:v>
                </c:pt>
                <c:pt idx="3">
                  <c:v>22252</c:v>
                </c:pt>
                <c:pt idx="4">
                  <c:v>24450</c:v>
                </c:pt>
                <c:pt idx="5">
                  <c:v>25665</c:v>
                </c:pt>
                <c:pt idx="6">
                  <c:v>25527</c:v>
                </c:pt>
                <c:pt idx="7">
                  <c:v>24585</c:v>
                </c:pt>
                <c:pt idx="8">
                  <c:v>26278</c:v>
                </c:pt>
                <c:pt idx="9">
                  <c:v>28116</c:v>
                </c:pt>
              </c:numCache>
            </c:numRef>
          </c:val>
        </c:ser>
        <c:ser>
          <c:idx val="2"/>
          <c:order val="2"/>
          <c:tx>
            <c:strRef>
              <c:f>'$'!$B$20</c:f>
              <c:strCache>
                <c:ptCount val="1"/>
                <c:pt idx="0">
                  <c:v>Supplies, Services and Other Operating Expenses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'$'!$G$20:$Q$20</c:f>
              <c:numCache>
                <c:formatCode>_(* #,##0_);_(* \(#,##0\);_(* "-"??_);_(@_)</c:formatCode>
                <c:ptCount val="10"/>
                <c:pt idx="0">
                  <c:v>36683</c:v>
                </c:pt>
                <c:pt idx="1">
                  <c:v>46983</c:v>
                </c:pt>
                <c:pt idx="2">
                  <c:v>44693</c:v>
                </c:pt>
                <c:pt idx="3">
                  <c:v>53043</c:v>
                </c:pt>
                <c:pt idx="4">
                  <c:v>51751</c:v>
                </c:pt>
                <c:pt idx="5">
                  <c:v>54096</c:v>
                </c:pt>
                <c:pt idx="6">
                  <c:v>49924</c:v>
                </c:pt>
                <c:pt idx="7">
                  <c:v>46372</c:v>
                </c:pt>
                <c:pt idx="8">
                  <c:v>41894</c:v>
                </c:pt>
                <c:pt idx="9">
                  <c:v>47470</c:v>
                </c:pt>
              </c:numCache>
            </c:numRef>
          </c:val>
        </c:ser>
        <c:ser>
          <c:idx val="3"/>
          <c:order val="3"/>
          <c:tx>
            <c:strRef>
              <c:f>'$'!$B$21</c:f>
              <c:strCache>
                <c:ptCount val="1"/>
                <c:pt idx="0">
                  <c:v>Scholarships and Fellowships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'$'!$G$21:$Q$21</c:f>
              <c:numCache>
                <c:formatCode>_(* #,##0_);_(* \(#,##0\);_(* "-"??_);_(@_)</c:formatCode>
                <c:ptCount val="10"/>
                <c:pt idx="0">
                  <c:v>3462</c:v>
                </c:pt>
                <c:pt idx="1">
                  <c:v>3836</c:v>
                </c:pt>
                <c:pt idx="2">
                  <c:v>4406</c:v>
                </c:pt>
                <c:pt idx="3">
                  <c:v>4449</c:v>
                </c:pt>
                <c:pt idx="4">
                  <c:v>4584</c:v>
                </c:pt>
                <c:pt idx="5">
                  <c:v>4714</c:v>
                </c:pt>
                <c:pt idx="6">
                  <c:v>7888</c:v>
                </c:pt>
                <c:pt idx="7">
                  <c:v>10069</c:v>
                </c:pt>
                <c:pt idx="8">
                  <c:v>10625</c:v>
                </c:pt>
                <c:pt idx="9">
                  <c:v>10761</c:v>
                </c:pt>
              </c:numCache>
            </c:numRef>
          </c:val>
        </c:ser>
        <c:ser>
          <c:idx val="4"/>
          <c:order val="4"/>
          <c:tx>
            <c:strRef>
              <c:f>'$'!$B$22</c:f>
              <c:strCache>
                <c:ptCount val="1"/>
                <c:pt idx="0">
                  <c:v>Depreciation &amp; Capital Expense</c:v>
                </c:pt>
              </c:strCache>
            </c:strRef>
          </c:tx>
          <c:invertIfNegative val="0"/>
          <c:cat>
            <c:strRef>
              <c:f>'$'!$G$10:$Q$10</c:f>
              <c:strCache>
                <c:ptCount val="10"/>
                <c:pt idx="0">
                  <c:v>FY2003</c:v>
                </c:pt>
                <c:pt idx="1">
                  <c:v>FY2004</c:v>
                </c:pt>
                <c:pt idx="2">
                  <c:v>FY2005</c:v>
                </c:pt>
                <c:pt idx="3">
                  <c:v>FY2006</c:v>
                </c:pt>
                <c:pt idx="4">
                  <c:v>FY2007</c:v>
                </c:pt>
                <c:pt idx="5">
                  <c:v>FY2008</c:v>
                </c:pt>
                <c:pt idx="6">
                  <c:v>FY2009*</c:v>
                </c:pt>
                <c:pt idx="7">
                  <c:v>FY2010*</c:v>
                </c:pt>
                <c:pt idx="8">
                  <c:v>FY2011*</c:v>
                </c:pt>
                <c:pt idx="9">
                  <c:v>FY2012*</c:v>
                </c:pt>
              </c:strCache>
            </c:strRef>
          </c:cat>
          <c:val>
            <c:numRef>
              <c:f>'$'!$G$22:$Q$22</c:f>
              <c:numCache>
                <c:formatCode>_(* #,##0_);_(* \(#,##0\);_(* "-"??_);_(@_)</c:formatCode>
                <c:ptCount val="10"/>
                <c:pt idx="0">
                  <c:v>6159</c:v>
                </c:pt>
                <c:pt idx="1">
                  <c:v>9418</c:v>
                </c:pt>
                <c:pt idx="2">
                  <c:v>10072</c:v>
                </c:pt>
                <c:pt idx="3">
                  <c:v>10180</c:v>
                </c:pt>
                <c:pt idx="4">
                  <c:v>11690</c:v>
                </c:pt>
                <c:pt idx="5">
                  <c:v>11628</c:v>
                </c:pt>
                <c:pt idx="6">
                  <c:v>11914</c:v>
                </c:pt>
                <c:pt idx="7">
                  <c:v>11975</c:v>
                </c:pt>
                <c:pt idx="8">
                  <c:v>12317</c:v>
                </c:pt>
                <c:pt idx="9">
                  <c:v>12491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8256"/>
        <c:axId val="54610560"/>
      </c:barChart>
      <c:catAx>
        <c:axId val="5460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54610560"/>
        <c:crosses val="autoZero"/>
        <c:auto val="1"/>
        <c:lblAlgn val="ctr"/>
        <c:lblOffset val="100"/>
        <c:noMultiLvlLbl val="0"/>
      </c:catAx>
      <c:valAx>
        <c:axId val="54610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(In Thousands)</a:t>
                </a:r>
              </a:p>
            </c:rich>
          </c:tx>
          <c:layout/>
          <c:overlay val="0"/>
        </c:title>
        <c:numFmt formatCode="&quot;$&quot;#,##0" sourceLinked="0"/>
        <c:majorTickMark val="none"/>
        <c:minorTickMark val="none"/>
        <c:tickLblPos val="nextTo"/>
        <c:crossAx val="5460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38100</xdr:rowOff>
    </xdr:from>
    <xdr:to>
      <xdr:col>1</xdr:col>
      <xdr:colOff>908685</xdr:colOff>
      <xdr:row>1</xdr:row>
      <xdr:rowOff>39024</xdr:rowOff>
    </xdr:to>
    <xdr:pic>
      <xdr:nvPicPr>
        <xdr:cNvPr id="2" name="Picture 1" descr="201 red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0025"/>
          <a:ext cx="685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43</xdr:row>
      <xdr:rowOff>142875</xdr:rowOff>
    </xdr:from>
    <xdr:to>
      <xdr:col>17</xdr:col>
      <xdr:colOff>28575</xdr:colOff>
      <xdr:row>60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9524</xdr:colOff>
      <xdr:row>62</xdr:row>
      <xdr:rowOff>47625</xdr:rowOff>
    </xdr:from>
    <xdr:to>
      <xdr:col>17</xdr:col>
      <xdr:colOff>19049</xdr:colOff>
      <xdr:row>79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1</xdr:row>
      <xdr:rowOff>19050</xdr:rowOff>
    </xdr:from>
    <xdr:to>
      <xdr:col>1</xdr:col>
      <xdr:colOff>1019175</xdr:colOff>
      <xdr:row>3</xdr:row>
      <xdr:rowOff>160623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1019175" cy="465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showGridLines="0" tabSelected="1" zoomScaleNormal="100" zoomScaleSheetLayoutView="100" workbookViewId="0"/>
  </sheetViews>
  <sheetFormatPr defaultRowHeight="12.75" x14ac:dyDescent="0.2"/>
  <cols>
    <col min="1" max="1" width="2.7109375" style="18" customWidth="1"/>
    <col min="2" max="2" width="16.85546875" customWidth="1"/>
    <col min="6" max="6" width="6.5703125" customWidth="1"/>
    <col min="7" max="7" width="9.7109375" hidden="1" customWidth="1"/>
    <col min="8" max="17" width="9.7109375" customWidth="1"/>
    <col min="18" max="18" width="2.7109375" customWidth="1"/>
  </cols>
  <sheetData>
    <row r="1" spans="1:18" x14ac:dyDescent="0.2">
      <c r="A1" s="25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x14ac:dyDescent="0.2">
      <c r="A2" s="17"/>
      <c r="B2" s="4"/>
      <c r="C2" s="5" t="s">
        <v>22</v>
      </c>
      <c r="D2" s="5"/>
      <c r="E2" s="5"/>
      <c r="F2" s="5"/>
      <c r="G2" s="1"/>
      <c r="H2" s="6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x14ac:dyDescent="0.2">
      <c r="A3" s="17"/>
      <c r="B3" s="4"/>
      <c r="C3" s="9" t="s">
        <v>32</v>
      </c>
      <c r="D3" s="9"/>
      <c r="E3" s="9"/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4"/>
      <c r="R3" s="8"/>
    </row>
    <row r="4" spans="1:18" ht="13.5" thickBot="1" x14ac:dyDescent="0.25">
      <c r="A4" s="17"/>
      <c r="B4" s="4"/>
      <c r="C4" s="12" t="s">
        <v>23</v>
      </c>
      <c r="D4" s="12"/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8"/>
    </row>
    <row r="5" spans="1:18" ht="13.5" thickTop="1" x14ac:dyDescent="0.2">
      <c r="A5" s="1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8"/>
    </row>
    <row r="6" spans="1:18" x14ac:dyDescent="0.2">
      <c r="A6" s="17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8"/>
    </row>
    <row r="7" spans="1:18" x14ac:dyDescent="0.2">
      <c r="A7" s="17"/>
      <c r="B7" s="4"/>
      <c r="C7" s="4"/>
      <c r="D7" s="4"/>
      <c r="E7" s="4"/>
      <c r="F7" s="4"/>
      <c r="G7" s="4"/>
      <c r="H7" s="15"/>
      <c r="I7" s="15"/>
      <c r="J7" s="15"/>
      <c r="K7" s="15"/>
      <c r="L7" s="15"/>
      <c r="M7" s="15"/>
      <c r="N7" s="15"/>
      <c r="O7" s="15"/>
      <c r="P7" s="15"/>
      <c r="Q7" s="15"/>
      <c r="R7" s="8"/>
    </row>
    <row r="8" spans="1:18" x14ac:dyDescent="0.2">
      <c r="A8" s="17"/>
      <c r="B8" s="4"/>
      <c r="C8" s="4"/>
      <c r="D8" s="4"/>
      <c r="E8" s="4"/>
      <c r="F8" s="4"/>
      <c r="G8" s="4"/>
      <c r="H8" s="15"/>
      <c r="I8" s="15"/>
      <c r="J8" s="15"/>
      <c r="K8" s="15"/>
      <c r="L8" s="15"/>
      <c r="M8" s="15"/>
      <c r="N8" s="15"/>
      <c r="O8" s="15"/>
      <c r="P8" s="15"/>
      <c r="Q8" s="15"/>
      <c r="R8" s="8"/>
    </row>
    <row r="9" spans="1:18" x14ac:dyDescent="0.2">
      <c r="A9" s="17"/>
      <c r="B9" s="4"/>
      <c r="C9" s="16"/>
      <c r="D9" s="16"/>
      <c r="E9" s="16"/>
      <c r="F9" s="16"/>
      <c r="G9" s="16"/>
      <c r="H9" s="15"/>
      <c r="I9" s="15"/>
      <c r="J9" s="15"/>
      <c r="K9" s="15"/>
      <c r="L9" s="15"/>
      <c r="M9" s="15"/>
      <c r="N9" s="15"/>
      <c r="O9" s="15"/>
      <c r="P9" s="15"/>
      <c r="Q9" s="4"/>
      <c r="R9" s="8"/>
    </row>
    <row r="10" spans="1:18" s="27" customFormat="1" x14ac:dyDescent="0.2">
      <c r="A10" s="26"/>
      <c r="B10" s="29" t="s">
        <v>18</v>
      </c>
      <c r="C10" s="21"/>
      <c r="D10" s="21"/>
      <c r="E10" s="21"/>
      <c r="F10" s="21"/>
      <c r="G10" s="20" t="s">
        <v>24</v>
      </c>
      <c r="H10" s="20" t="s">
        <v>25</v>
      </c>
      <c r="I10" s="20" t="s">
        <v>26</v>
      </c>
      <c r="J10" s="20" t="s">
        <v>27</v>
      </c>
      <c r="K10" s="20" t="s">
        <v>28</v>
      </c>
      <c r="L10" s="20" t="s">
        <v>29</v>
      </c>
      <c r="M10" s="20" t="s">
        <v>30</v>
      </c>
      <c r="N10" s="56" t="s">
        <v>38</v>
      </c>
      <c r="O10" s="20" t="s">
        <v>39</v>
      </c>
      <c r="P10" s="20" t="s">
        <v>41</v>
      </c>
      <c r="Q10" s="20" t="s">
        <v>43</v>
      </c>
      <c r="R10" s="28"/>
    </row>
    <row r="11" spans="1:18" s="27" customFormat="1" x14ac:dyDescent="0.2">
      <c r="A11" s="26"/>
      <c r="B11" s="30" t="s">
        <v>9</v>
      </c>
      <c r="C11" s="30"/>
      <c r="D11" s="30"/>
      <c r="E11" s="30"/>
      <c r="F11" s="30"/>
      <c r="G11" s="30"/>
      <c r="H11" s="30"/>
      <c r="I11" s="30"/>
      <c r="J11" s="21"/>
      <c r="K11" s="21"/>
      <c r="L11" s="21"/>
      <c r="M11" s="21"/>
      <c r="N11" s="57"/>
      <c r="O11" s="31"/>
      <c r="P11" s="31"/>
      <c r="Q11" s="31"/>
      <c r="R11" s="28"/>
    </row>
    <row r="12" spans="1:18" s="27" customFormat="1" x14ac:dyDescent="0.2">
      <c r="A12" s="26"/>
      <c r="B12" s="53" t="s">
        <v>35</v>
      </c>
      <c r="C12" s="30"/>
      <c r="D12" s="30"/>
      <c r="E12" s="52"/>
      <c r="F12" s="52"/>
      <c r="G12" s="33">
        <v>46314</v>
      </c>
      <c r="H12" s="33">
        <v>50203</v>
      </c>
      <c r="I12" s="33">
        <v>60307</v>
      </c>
      <c r="J12" s="33">
        <v>62439</v>
      </c>
      <c r="K12" s="33">
        <v>64727</v>
      </c>
      <c r="L12" s="33">
        <v>68758</v>
      </c>
      <c r="M12" s="33">
        <v>72112</v>
      </c>
      <c r="N12" s="58">
        <v>75896</v>
      </c>
      <c r="O12" s="33">
        <v>77429</v>
      </c>
      <c r="P12" s="33">
        <v>78497</v>
      </c>
      <c r="Q12" s="33">
        <v>81651</v>
      </c>
      <c r="R12" s="28"/>
    </row>
    <row r="13" spans="1:18" s="27" customFormat="1" x14ac:dyDescent="0.2">
      <c r="A13" s="26"/>
      <c r="B13" s="53" t="s">
        <v>33</v>
      </c>
      <c r="C13" s="30"/>
      <c r="D13" s="30"/>
      <c r="E13" s="30"/>
      <c r="F13" s="30"/>
      <c r="G13" s="34">
        <f>14834+5552+3635</f>
        <v>24021</v>
      </c>
      <c r="H13" s="34">
        <f>16735+2265+4745</f>
        <v>23745</v>
      </c>
      <c r="I13" s="34">
        <f>13918+3057+4740</f>
        <v>21715</v>
      </c>
      <c r="J13" s="34">
        <f>15131+4294+4598</f>
        <v>24023</v>
      </c>
      <c r="K13" s="34">
        <f>17414+4716+3688</f>
        <v>25818</v>
      </c>
      <c r="L13" s="34">
        <f>18997+3705+5098</f>
        <v>27800</v>
      </c>
      <c r="M13" s="34">
        <f>21430+4382+5950</f>
        <v>31762</v>
      </c>
      <c r="N13" s="35">
        <f>11999+3383+5032</f>
        <v>20414</v>
      </c>
      <c r="O13" s="35">
        <f>11643+2403+3634</f>
        <v>17680</v>
      </c>
      <c r="P13" s="35">
        <f>12644+5450+5540</f>
        <v>23634</v>
      </c>
      <c r="Q13" s="35">
        <f>10247+7151+5552</f>
        <v>22950</v>
      </c>
      <c r="R13" s="28"/>
    </row>
    <row r="14" spans="1:18" s="27" customFormat="1" x14ac:dyDescent="0.2">
      <c r="A14" s="26"/>
      <c r="B14" s="32" t="s">
        <v>0</v>
      </c>
      <c r="C14" s="30"/>
      <c r="D14" s="30"/>
      <c r="E14" s="30"/>
      <c r="F14" s="30"/>
      <c r="G14" s="34">
        <f>2814+6616+11426</f>
        <v>20856</v>
      </c>
      <c r="H14" s="34">
        <f>2672+6536+12961</f>
        <v>22169</v>
      </c>
      <c r="I14" s="34">
        <f>2521+6952+13716</f>
        <v>23189</v>
      </c>
      <c r="J14" s="34">
        <f>2353+6717+14751</f>
        <v>23821</v>
      </c>
      <c r="K14" s="34">
        <f>2648+7097+14101</f>
        <v>23846</v>
      </c>
      <c r="L14" s="34">
        <f>3374+7185+15068</f>
        <v>25627</v>
      </c>
      <c r="M14" s="34">
        <f>3756+7320+15177</f>
        <v>26253</v>
      </c>
      <c r="N14" s="35">
        <f>4169+7020+14064</f>
        <v>25253</v>
      </c>
      <c r="O14" s="35">
        <f>4072+6454+14702</f>
        <v>25228</v>
      </c>
      <c r="P14" s="35">
        <f>4039+718+14781</f>
        <v>19538</v>
      </c>
      <c r="Q14" s="35">
        <f>4674+662+12681</f>
        <v>18017</v>
      </c>
      <c r="R14" s="28"/>
    </row>
    <row r="15" spans="1:18" s="27" customFormat="1" x14ac:dyDescent="0.2">
      <c r="A15" s="26"/>
      <c r="B15" s="32" t="s">
        <v>10</v>
      </c>
      <c r="C15" s="30"/>
      <c r="D15" s="30"/>
      <c r="E15" s="30"/>
      <c r="F15" s="30"/>
      <c r="G15" s="36">
        <f>916+17+1305</f>
        <v>2238</v>
      </c>
      <c r="H15" s="36">
        <f>782+83+1605</f>
        <v>2470</v>
      </c>
      <c r="I15" s="36">
        <f>737+223+2636</f>
        <v>3596</v>
      </c>
      <c r="J15" s="36">
        <f>767+23+2912</f>
        <v>3702</v>
      </c>
      <c r="K15" s="36">
        <f>857+25+5022</f>
        <v>5904</v>
      </c>
      <c r="L15" s="36">
        <f>787+62+6990</f>
        <v>7839</v>
      </c>
      <c r="M15" s="36">
        <f>797+20+4206-6</f>
        <v>5017</v>
      </c>
      <c r="N15" s="42">
        <f>3515+1377</f>
        <v>4892</v>
      </c>
      <c r="O15" s="42">
        <f>3438+1500</f>
        <v>4938</v>
      </c>
      <c r="P15" s="42">
        <f>1356+3258</f>
        <v>4614</v>
      </c>
      <c r="Q15" s="42">
        <f>1092+3759</f>
        <v>4851</v>
      </c>
      <c r="R15" s="28"/>
    </row>
    <row r="16" spans="1:18" s="27" customFormat="1" x14ac:dyDescent="0.2">
      <c r="A16" s="26"/>
      <c r="B16" s="37" t="s">
        <v>11</v>
      </c>
      <c r="C16" s="30"/>
      <c r="D16" s="30"/>
      <c r="E16" s="30"/>
      <c r="F16" s="30"/>
      <c r="G16" s="38">
        <f t="shared" ref="G16:Q16" si="0">SUM(G12:G15)</f>
        <v>93429</v>
      </c>
      <c r="H16" s="38">
        <f t="shared" si="0"/>
        <v>98587</v>
      </c>
      <c r="I16" s="38">
        <f t="shared" si="0"/>
        <v>108807</v>
      </c>
      <c r="J16" s="38">
        <f t="shared" si="0"/>
        <v>113985</v>
      </c>
      <c r="K16" s="38">
        <f t="shared" si="0"/>
        <v>120295</v>
      </c>
      <c r="L16" s="38">
        <f t="shared" si="0"/>
        <v>130024</v>
      </c>
      <c r="M16" s="38">
        <f t="shared" si="0"/>
        <v>135144</v>
      </c>
      <c r="N16" s="51">
        <f>SUM(N12:N15)</f>
        <v>126455</v>
      </c>
      <c r="O16" s="51">
        <f t="shared" ref="O16" si="1">SUM(O12:O15)</f>
        <v>125275</v>
      </c>
      <c r="P16" s="51">
        <f t="shared" ref="P16" si="2">SUM(P12:P15)</f>
        <v>126283</v>
      </c>
      <c r="Q16" s="51">
        <f t="shared" si="0"/>
        <v>127469</v>
      </c>
      <c r="R16" s="28"/>
    </row>
    <row r="17" spans="1:19" s="27" customFormat="1" x14ac:dyDescent="0.2">
      <c r="A17" s="26"/>
      <c r="B17" s="39" t="s">
        <v>21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41"/>
      <c r="O17" s="41"/>
      <c r="P17" s="41"/>
      <c r="Q17" s="41"/>
      <c r="R17" s="28"/>
    </row>
    <row r="18" spans="1:19" s="27" customFormat="1" x14ac:dyDescent="0.2">
      <c r="A18" s="26"/>
      <c r="B18" s="32" t="s">
        <v>12</v>
      </c>
      <c r="C18" s="30"/>
      <c r="D18" s="30"/>
      <c r="E18" s="30"/>
      <c r="F18" s="30"/>
      <c r="G18" s="35">
        <v>81061</v>
      </c>
      <c r="H18" s="35">
        <v>80687</v>
      </c>
      <c r="I18" s="35">
        <v>83344</v>
      </c>
      <c r="J18" s="35">
        <v>87924</v>
      </c>
      <c r="K18" s="35">
        <v>90185</v>
      </c>
      <c r="L18" s="35">
        <v>95878</v>
      </c>
      <c r="M18" s="35">
        <v>100482</v>
      </c>
      <c r="N18" s="35">
        <v>102953</v>
      </c>
      <c r="O18" s="35">
        <v>100228</v>
      </c>
      <c r="P18" s="35">
        <v>103676</v>
      </c>
      <c r="Q18" s="35">
        <v>105445</v>
      </c>
      <c r="R18" s="28"/>
      <c r="S18" s="66"/>
    </row>
    <row r="19" spans="1:19" s="27" customFormat="1" x14ac:dyDescent="0.2">
      <c r="A19" s="26"/>
      <c r="B19" s="32" t="s">
        <v>13</v>
      </c>
      <c r="C19" s="30"/>
      <c r="D19" s="30"/>
      <c r="E19" s="30"/>
      <c r="F19" s="30"/>
      <c r="G19" s="35">
        <v>14900</v>
      </c>
      <c r="H19" s="35">
        <v>14921</v>
      </c>
      <c r="I19" s="35">
        <v>19331</v>
      </c>
      <c r="J19" s="35">
        <v>20254</v>
      </c>
      <c r="K19" s="35">
        <v>22252</v>
      </c>
      <c r="L19" s="35">
        <v>24450</v>
      </c>
      <c r="M19" s="35">
        <v>25665</v>
      </c>
      <c r="N19" s="35">
        <v>25527</v>
      </c>
      <c r="O19" s="35">
        <v>24585</v>
      </c>
      <c r="P19" s="35">
        <v>26278</v>
      </c>
      <c r="Q19" s="35">
        <v>28116</v>
      </c>
      <c r="R19" s="28"/>
      <c r="S19" s="66"/>
    </row>
    <row r="20" spans="1:19" s="27" customFormat="1" x14ac:dyDescent="0.2">
      <c r="A20" s="26"/>
      <c r="B20" s="40" t="s">
        <v>19</v>
      </c>
      <c r="C20" s="41"/>
      <c r="D20" s="41"/>
      <c r="E20" s="41"/>
      <c r="F20" s="41"/>
      <c r="G20" s="35">
        <v>42991</v>
      </c>
      <c r="H20" s="35">
        <v>36683</v>
      </c>
      <c r="I20" s="35">
        <v>46983</v>
      </c>
      <c r="J20" s="35">
        <v>44693</v>
      </c>
      <c r="K20" s="35">
        <v>53043</v>
      </c>
      <c r="L20" s="35">
        <v>51751</v>
      </c>
      <c r="M20" s="35">
        <v>54096</v>
      </c>
      <c r="N20" s="35">
        <v>49924</v>
      </c>
      <c r="O20" s="35">
        <v>46372</v>
      </c>
      <c r="P20" s="35">
        <v>41894</v>
      </c>
      <c r="Q20" s="35">
        <v>47470</v>
      </c>
      <c r="R20" s="28"/>
      <c r="S20" s="66"/>
    </row>
    <row r="21" spans="1:19" s="27" customFormat="1" x14ac:dyDescent="0.2">
      <c r="A21" s="26"/>
      <c r="B21" s="32" t="s">
        <v>14</v>
      </c>
      <c r="C21" s="30"/>
      <c r="D21" s="30"/>
      <c r="E21" s="30"/>
      <c r="F21" s="30"/>
      <c r="G21" s="35">
        <v>4930</v>
      </c>
      <c r="H21" s="35">
        <v>3462</v>
      </c>
      <c r="I21" s="35">
        <v>3836</v>
      </c>
      <c r="J21" s="35">
        <v>4406</v>
      </c>
      <c r="K21" s="35">
        <v>4449</v>
      </c>
      <c r="L21" s="35">
        <v>4584</v>
      </c>
      <c r="M21" s="35">
        <v>4714</v>
      </c>
      <c r="N21" s="35">
        <v>7888</v>
      </c>
      <c r="O21" s="35">
        <v>10069</v>
      </c>
      <c r="P21" s="35">
        <v>10625</v>
      </c>
      <c r="Q21" s="35">
        <v>10761</v>
      </c>
      <c r="R21" s="28"/>
      <c r="S21" s="66"/>
    </row>
    <row r="22" spans="1:19" s="27" customFormat="1" x14ac:dyDescent="0.2">
      <c r="A22" s="26"/>
      <c r="B22" s="32" t="s">
        <v>15</v>
      </c>
      <c r="C22" s="30"/>
      <c r="D22" s="30"/>
      <c r="E22" s="30"/>
      <c r="F22" s="30"/>
      <c r="G22" s="42">
        <v>6148</v>
      </c>
      <c r="H22" s="42">
        <v>6159</v>
      </c>
      <c r="I22" s="42">
        <v>9418</v>
      </c>
      <c r="J22" s="42">
        <v>10072</v>
      </c>
      <c r="K22" s="42">
        <v>10180</v>
      </c>
      <c r="L22" s="42">
        <v>11690</v>
      </c>
      <c r="M22" s="42">
        <v>11628</v>
      </c>
      <c r="N22" s="42">
        <v>11914</v>
      </c>
      <c r="O22" s="42">
        <v>11975</v>
      </c>
      <c r="P22" s="42">
        <v>12317</v>
      </c>
      <c r="Q22" s="42">
        <v>12491</v>
      </c>
      <c r="R22" s="28"/>
      <c r="S22" s="66"/>
    </row>
    <row r="23" spans="1:19" s="27" customFormat="1" x14ac:dyDescent="0.2">
      <c r="A23" s="26"/>
      <c r="B23" s="27" t="s">
        <v>40</v>
      </c>
      <c r="C23" s="30"/>
      <c r="D23" s="30"/>
      <c r="E23" s="30"/>
      <c r="F23" s="30"/>
      <c r="G23" s="43">
        <f t="shared" ref="G23:Q23" si="3">SUM(G18:G22)</f>
        <v>150030</v>
      </c>
      <c r="H23" s="43">
        <f t="shared" si="3"/>
        <v>141912</v>
      </c>
      <c r="I23" s="43">
        <f t="shared" si="3"/>
        <v>162912</v>
      </c>
      <c r="J23" s="43">
        <f t="shared" si="3"/>
        <v>167349</v>
      </c>
      <c r="K23" s="43">
        <f t="shared" si="3"/>
        <v>180109</v>
      </c>
      <c r="L23" s="43">
        <f t="shared" si="3"/>
        <v>188353</v>
      </c>
      <c r="M23" s="43">
        <f t="shared" si="3"/>
        <v>196585</v>
      </c>
      <c r="N23" s="59">
        <f t="shared" ref="N23:P23" si="4">SUM(N18:N22)</f>
        <v>198206</v>
      </c>
      <c r="O23" s="43">
        <f t="shared" si="4"/>
        <v>193229</v>
      </c>
      <c r="P23" s="43">
        <f t="shared" si="4"/>
        <v>194790</v>
      </c>
      <c r="Q23" s="43">
        <f t="shared" si="3"/>
        <v>204283</v>
      </c>
      <c r="R23" s="28"/>
      <c r="S23" s="66"/>
    </row>
    <row r="24" spans="1:19" s="27" customFormat="1" x14ac:dyDescent="0.2">
      <c r="A24" s="26"/>
      <c r="B24" s="37" t="s">
        <v>16</v>
      </c>
      <c r="C24" s="30"/>
      <c r="D24" s="30"/>
      <c r="E24" s="30"/>
      <c r="F24" s="30"/>
      <c r="G24" s="44">
        <f t="shared" ref="G24:Q24" si="5">G16-G23</f>
        <v>-56601</v>
      </c>
      <c r="H24" s="44">
        <f t="shared" si="5"/>
        <v>-43325</v>
      </c>
      <c r="I24" s="44">
        <f t="shared" si="5"/>
        <v>-54105</v>
      </c>
      <c r="J24" s="44">
        <f t="shared" si="5"/>
        <v>-53364</v>
      </c>
      <c r="K24" s="44">
        <f t="shared" si="5"/>
        <v>-59814</v>
      </c>
      <c r="L24" s="44">
        <f t="shared" si="5"/>
        <v>-58329</v>
      </c>
      <c r="M24" s="44">
        <f t="shared" si="5"/>
        <v>-61441</v>
      </c>
      <c r="N24" s="60">
        <f t="shared" ref="N24:P24" si="6">N16-N23</f>
        <v>-71751</v>
      </c>
      <c r="O24" s="44">
        <f t="shared" si="6"/>
        <v>-67954</v>
      </c>
      <c r="P24" s="44">
        <f t="shared" si="6"/>
        <v>-68507</v>
      </c>
      <c r="Q24" s="44">
        <f t="shared" si="5"/>
        <v>-76814</v>
      </c>
      <c r="R24" s="28"/>
    </row>
    <row r="25" spans="1:19" s="27" customFormat="1" x14ac:dyDescent="0.2">
      <c r="A25" s="26"/>
      <c r="B25" s="39" t="s">
        <v>17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41"/>
      <c r="O25" s="30"/>
      <c r="P25" s="30"/>
      <c r="Q25" s="30"/>
      <c r="R25" s="28"/>
    </row>
    <row r="26" spans="1:19" s="27" customFormat="1" x14ac:dyDescent="0.2">
      <c r="A26" s="26"/>
      <c r="B26" s="32" t="s">
        <v>1</v>
      </c>
      <c r="C26" s="30"/>
      <c r="D26" s="30"/>
      <c r="E26" s="30"/>
      <c r="F26" s="30"/>
      <c r="G26" s="34">
        <v>46593</v>
      </c>
      <c r="H26" s="34">
        <v>48337</v>
      </c>
      <c r="I26" s="34">
        <v>46428</v>
      </c>
      <c r="J26" s="34">
        <v>49570</v>
      </c>
      <c r="K26" s="34">
        <v>50470</v>
      </c>
      <c r="L26" s="34">
        <v>53556</v>
      </c>
      <c r="M26" s="34">
        <v>56072</v>
      </c>
      <c r="N26" s="35">
        <v>61145</v>
      </c>
      <c r="O26" s="34">
        <v>63585</v>
      </c>
      <c r="P26" s="34">
        <v>58364</v>
      </c>
      <c r="Q26" s="34">
        <v>53499</v>
      </c>
      <c r="R26" s="28"/>
    </row>
    <row r="27" spans="1:19" s="27" customFormat="1" x14ac:dyDescent="0.2">
      <c r="A27" s="26"/>
      <c r="B27" s="32" t="s">
        <v>37</v>
      </c>
      <c r="C27" s="30"/>
      <c r="D27" s="30"/>
      <c r="E27" s="30"/>
      <c r="F27" s="30"/>
      <c r="G27" s="34"/>
      <c r="H27" s="34"/>
      <c r="I27" s="34"/>
      <c r="J27" s="34"/>
      <c r="K27" s="34"/>
      <c r="L27" s="34"/>
      <c r="M27" s="34"/>
      <c r="N27" s="35">
        <v>9321</v>
      </c>
      <c r="O27" s="34">
        <v>14226</v>
      </c>
      <c r="P27" s="34">
        <v>16116</v>
      </c>
      <c r="Q27" s="34">
        <v>16816</v>
      </c>
      <c r="R27" s="28"/>
    </row>
    <row r="28" spans="1:19" s="27" customFormat="1" x14ac:dyDescent="0.2">
      <c r="A28" s="26"/>
      <c r="B28" s="45" t="s">
        <v>2</v>
      </c>
      <c r="C28" s="30"/>
      <c r="D28" s="30"/>
      <c r="E28" s="30"/>
      <c r="F28" s="30"/>
      <c r="G28" s="34">
        <f>35</f>
        <v>35</v>
      </c>
      <c r="H28" s="34">
        <f>3165</f>
        <v>3165</v>
      </c>
      <c r="I28" s="34">
        <v>6496</v>
      </c>
      <c r="J28" s="34">
        <v>4455</v>
      </c>
      <c r="K28" s="34">
        <v>6572</v>
      </c>
      <c r="L28" s="34">
        <v>9806</v>
      </c>
      <c r="M28" s="34">
        <v>-678</v>
      </c>
      <c r="N28" s="35">
        <v>-7452</v>
      </c>
      <c r="O28" s="34">
        <v>6734</v>
      </c>
      <c r="P28" s="34">
        <v>11459</v>
      </c>
      <c r="Q28" s="34">
        <v>916</v>
      </c>
      <c r="R28" s="28"/>
    </row>
    <row r="29" spans="1:19" s="27" customFormat="1" x14ac:dyDescent="0.2">
      <c r="A29" s="26"/>
      <c r="B29" s="45" t="s">
        <v>5</v>
      </c>
      <c r="C29" s="30"/>
      <c r="D29" s="30"/>
      <c r="E29" s="30"/>
      <c r="F29" s="30"/>
      <c r="G29" s="46">
        <f>6151+3424</f>
        <v>9575</v>
      </c>
      <c r="H29" s="46">
        <f>6185+1055</f>
        <v>7240</v>
      </c>
      <c r="I29" s="46">
        <f>5059+2881</f>
        <v>7940</v>
      </c>
      <c r="J29" s="46">
        <f>4353+1151</f>
        <v>5504</v>
      </c>
      <c r="K29" s="46">
        <f>5841+350</f>
        <v>6191</v>
      </c>
      <c r="L29" s="46">
        <f>6552+819</f>
        <v>7371</v>
      </c>
      <c r="M29" s="46">
        <f>6343+1552</f>
        <v>7895</v>
      </c>
      <c r="N29" s="61">
        <f>4974+3915</f>
        <v>8889</v>
      </c>
      <c r="O29" s="46">
        <f>10285+1282</f>
        <v>11567</v>
      </c>
      <c r="P29" s="46">
        <f>9653+2956</f>
        <v>12609</v>
      </c>
      <c r="Q29" s="46">
        <f>7370+2956</f>
        <v>10326</v>
      </c>
      <c r="R29" s="28"/>
    </row>
    <row r="30" spans="1:19" s="27" customFormat="1" x14ac:dyDescent="0.2">
      <c r="A30" s="26"/>
      <c r="B30" s="45" t="s">
        <v>6</v>
      </c>
      <c r="C30" s="30"/>
      <c r="D30" s="30"/>
      <c r="E30" s="30"/>
      <c r="F30" s="30"/>
      <c r="G30" s="46">
        <v>19069</v>
      </c>
      <c r="H30" s="46">
        <v>899</v>
      </c>
      <c r="I30" s="46">
        <v>30</v>
      </c>
      <c r="J30" s="46">
        <v>95</v>
      </c>
      <c r="K30" s="46">
        <v>1153</v>
      </c>
      <c r="L30" s="46">
        <v>882</v>
      </c>
      <c r="M30" s="46">
        <f>217+746</f>
        <v>963</v>
      </c>
      <c r="N30" s="61">
        <f>412+4988</f>
        <v>5400</v>
      </c>
      <c r="O30" s="46">
        <f>481+3271</f>
        <v>3752</v>
      </c>
      <c r="P30" s="46">
        <v>1190</v>
      </c>
      <c r="Q30" s="46">
        <v>2961</v>
      </c>
      <c r="R30" s="28"/>
    </row>
    <row r="31" spans="1:19" s="27" customFormat="1" x14ac:dyDescent="0.2">
      <c r="A31" s="26"/>
      <c r="B31" s="45" t="s">
        <v>8</v>
      </c>
      <c r="C31" s="30"/>
      <c r="D31" s="30"/>
      <c r="E31" s="30"/>
      <c r="F31" s="30"/>
      <c r="G31" s="46">
        <f>2150-553+55</f>
        <v>1652</v>
      </c>
      <c r="H31" s="46">
        <f>-2848-551+55</f>
        <v>-3344</v>
      </c>
      <c r="I31" s="46">
        <f>-2861-558</f>
        <v>-3419</v>
      </c>
      <c r="J31" s="46">
        <f>-2833-580</f>
        <v>-3413</v>
      </c>
      <c r="K31" s="46">
        <f>-2944-581</f>
        <v>-3525</v>
      </c>
      <c r="L31" s="46">
        <f>-3588-642</f>
        <v>-4230</v>
      </c>
      <c r="M31" s="46">
        <f>-3465-1723</f>
        <v>-5188</v>
      </c>
      <c r="N31" s="61">
        <f>-3348-2043</f>
        <v>-5391</v>
      </c>
      <c r="O31" s="46">
        <f>-3457-667</f>
        <v>-4124</v>
      </c>
      <c r="P31" s="46">
        <f>-3301-522</f>
        <v>-3823</v>
      </c>
      <c r="Q31" s="46">
        <f>-3293-242</f>
        <v>-3535</v>
      </c>
      <c r="R31" s="28"/>
    </row>
    <row r="32" spans="1:19" s="27" customFormat="1" x14ac:dyDescent="0.2">
      <c r="A32" s="26"/>
      <c r="B32" s="45" t="s">
        <v>7</v>
      </c>
      <c r="C32" s="30"/>
      <c r="D32" s="30"/>
      <c r="E32" s="30"/>
      <c r="F32" s="30"/>
      <c r="G32" s="47">
        <v>-3201</v>
      </c>
      <c r="H32" s="47">
        <f>40+590</f>
        <v>630</v>
      </c>
      <c r="I32" s="47">
        <f>-21-1146+754</f>
        <v>-413</v>
      </c>
      <c r="J32" s="47">
        <f>41-837-386</f>
        <v>-1182</v>
      </c>
      <c r="K32" s="47">
        <f>104-367+2892</f>
        <v>2629</v>
      </c>
      <c r="L32" s="47">
        <f>320+2049-817</f>
        <v>1552</v>
      </c>
      <c r="M32" s="47">
        <f>5277-453+643</f>
        <v>5467</v>
      </c>
      <c r="N32" s="62">
        <f>172+2464+295</f>
        <v>2931</v>
      </c>
      <c r="O32" s="47">
        <f>-276-6188-253</f>
        <v>-6717</v>
      </c>
      <c r="P32" s="47">
        <f>312-76+159</f>
        <v>395</v>
      </c>
      <c r="Q32" s="47">
        <f>1000+1757-883</f>
        <v>1874</v>
      </c>
      <c r="R32" s="28"/>
    </row>
    <row r="33" spans="1:18" s="27" customFormat="1" x14ac:dyDescent="0.2">
      <c r="A33" s="26"/>
      <c r="B33" s="39" t="s">
        <v>20</v>
      </c>
      <c r="C33" s="30"/>
      <c r="D33" s="30"/>
      <c r="E33" s="30"/>
      <c r="F33" s="30"/>
      <c r="G33" s="48">
        <f t="shared" ref="G33:Q33" si="7">SUM(G26:G32)</f>
        <v>73723</v>
      </c>
      <c r="H33" s="48">
        <f t="shared" si="7"/>
        <v>56927</v>
      </c>
      <c r="I33" s="48">
        <f t="shared" si="7"/>
        <v>57062</v>
      </c>
      <c r="J33" s="48">
        <f t="shared" si="7"/>
        <v>55029</v>
      </c>
      <c r="K33" s="48">
        <f t="shared" si="7"/>
        <v>63490</v>
      </c>
      <c r="L33" s="48">
        <f t="shared" si="7"/>
        <v>68937</v>
      </c>
      <c r="M33" s="48">
        <f t="shared" si="7"/>
        <v>64531</v>
      </c>
      <c r="N33" s="63">
        <f t="shared" ref="N33" si="8">SUM(N26:N32)</f>
        <v>74843</v>
      </c>
      <c r="O33" s="48">
        <f t="shared" ref="O33" si="9">SUM(O26:O32)</f>
        <v>89023</v>
      </c>
      <c r="P33" s="48">
        <f t="shared" ref="P33" si="10">SUM(P26:P32)</f>
        <v>96310</v>
      </c>
      <c r="Q33" s="48">
        <f t="shared" si="7"/>
        <v>82857</v>
      </c>
      <c r="R33" s="28"/>
    </row>
    <row r="34" spans="1:18" s="27" customFormat="1" x14ac:dyDescent="0.2">
      <c r="A34" s="26"/>
      <c r="B34" s="37" t="s">
        <v>3</v>
      </c>
      <c r="C34" s="30"/>
      <c r="D34" s="30"/>
      <c r="E34" s="30"/>
      <c r="F34" s="30"/>
      <c r="G34" s="49">
        <f t="shared" ref="G34:Q34" si="11">G24+G33</f>
        <v>17122</v>
      </c>
      <c r="H34" s="49">
        <f t="shared" si="11"/>
        <v>13602</v>
      </c>
      <c r="I34" s="49">
        <f t="shared" si="11"/>
        <v>2957</v>
      </c>
      <c r="J34" s="49">
        <f t="shared" si="11"/>
        <v>1665</v>
      </c>
      <c r="K34" s="49">
        <f t="shared" si="11"/>
        <v>3676</v>
      </c>
      <c r="L34" s="49">
        <f t="shared" si="11"/>
        <v>10608</v>
      </c>
      <c r="M34" s="49">
        <f t="shared" si="11"/>
        <v>3090</v>
      </c>
      <c r="N34" s="64">
        <f t="shared" ref="N34:P34" si="12">N24+N33</f>
        <v>3092</v>
      </c>
      <c r="O34" s="49">
        <f t="shared" si="12"/>
        <v>21069</v>
      </c>
      <c r="P34" s="49">
        <f t="shared" si="12"/>
        <v>27803</v>
      </c>
      <c r="Q34" s="49">
        <f t="shared" si="11"/>
        <v>6043</v>
      </c>
      <c r="R34" s="28"/>
    </row>
    <row r="35" spans="1:18" s="27" customFormat="1" x14ac:dyDescent="0.2">
      <c r="A35" s="26"/>
      <c r="B35" s="39" t="s">
        <v>4</v>
      </c>
      <c r="C35" s="30"/>
      <c r="D35" s="30"/>
      <c r="E35" s="30"/>
      <c r="F35" s="30"/>
      <c r="G35" s="36">
        <v>231776</v>
      </c>
      <c r="H35" s="36">
        <v>248898</v>
      </c>
      <c r="I35" s="36">
        <v>243726</v>
      </c>
      <c r="J35" s="36">
        <v>246683</v>
      </c>
      <c r="K35" s="36">
        <v>248347</v>
      </c>
      <c r="L35" s="36">
        <v>252023</v>
      </c>
      <c r="M35" s="36">
        <v>262631</v>
      </c>
      <c r="N35" s="42">
        <v>265721</v>
      </c>
      <c r="O35" s="36">
        <v>268813</v>
      </c>
      <c r="P35" s="36">
        <v>289882</v>
      </c>
      <c r="Q35" s="36">
        <v>317685</v>
      </c>
      <c r="R35" s="28"/>
    </row>
    <row r="36" spans="1:18" s="27" customFormat="1" ht="13.5" thickBot="1" x14ac:dyDescent="0.25">
      <c r="A36" s="26"/>
      <c r="B36" s="27" t="s">
        <v>34</v>
      </c>
      <c r="C36" s="30"/>
      <c r="D36" s="30"/>
      <c r="E36" s="30"/>
      <c r="F36" s="30"/>
      <c r="G36" s="50">
        <f t="shared" ref="G36:Q36" si="13">G34+G35</f>
        <v>248898</v>
      </c>
      <c r="H36" s="50">
        <f t="shared" si="13"/>
        <v>262500</v>
      </c>
      <c r="I36" s="50">
        <f t="shared" si="13"/>
        <v>246683</v>
      </c>
      <c r="J36" s="50">
        <f t="shared" si="13"/>
        <v>248348</v>
      </c>
      <c r="K36" s="50">
        <f t="shared" si="13"/>
        <v>252023</v>
      </c>
      <c r="L36" s="50">
        <f t="shared" si="13"/>
        <v>262631</v>
      </c>
      <c r="M36" s="50">
        <f t="shared" si="13"/>
        <v>265721</v>
      </c>
      <c r="N36" s="65">
        <f t="shared" ref="N36:P36" si="14">N34+N35</f>
        <v>268813</v>
      </c>
      <c r="O36" s="50">
        <f t="shared" si="14"/>
        <v>289882</v>
      </c>
      <c r="P36" s="50">
        <f t="shared" si="14"/>
        <v>317685</v>
      </c>
      <c r="Q36" s="50">
        <f t="shared" si="13"/>
        <v>323728</v>
      </c>
      <c r="R36" s="28"/>
    </row>
    <row r="37" spans="1:18" s="27" customFormat="1" ht="13.5" thickTop="1" x14ac:dyDescent="0.2">
      <c r="A37" s="26"/>
      <c r="B37" s="30"/>
      <c r="C37" s="30"/>
      <c r="D37" s="30"/>
      <c r="E37" s="30"/>
      <c r="F37" s="30"/>
      <c r="G37" s="30"/>
      <c r="H37" s="30"/>
      <c r="I37" s="30"/>
      <c r="J37" s="21"/>
      <c r="K37" s="21"/>
      <c r="L37" s="21"/>
      <c r="M37" s="21"/>
      <c r="N37" s="46"/>
      <c r="O37" s="46"/>
      <c r="P37" s="46"/>
      <c r="Q37" s="46"/>
      <c r="R37" s="28"/>
    </row>
    <row r="38" spans="1:18" x14ac:dyDescent="0.2">
      <c r="A38" s="17"/>
      <c r="B38" s="4" t="s">
        <v>42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55"/>
      <c r="O38" s="55"/>
      <c r="P38" s="55"/>
      <c r="Q38" s="55"/>
      <c r="R38" s="19"/>
    </row>
    <row r="39" spans="1:18" x14ac:dyDescent="0.2">
      <c r="A39" s="17"/>
      <c r="B39" s="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55"/>
      <c r="O39" s="55"/>
      <c r="P39" s="55"/>
      <c r="Q39" s="55"/>
      <c r="R39" s="19"/>
    </row>
    <row r="40" spans="1:18" x14ac:dyDescent="0.2">
      <c r="A40" s="17"/>
      <c r="B40" s="4" t="s">
        <v>36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55"/>
      <c r="O40" s="55"/>
      <c r="P40" s="55"/>
      <c r="Q40" s="55"/>
      <c r="R40" s="19"/>
    </row>
    <row r="41" spans="1:18" x14ac:dyDescent="0.2">
      <c r="A41" s="17"/>
      <c r="B41" s="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54"/>
      <c r="O41" s="54"/>
      <c r="P41" s="54"/>
      <c r="Q41" s="18"/>
      <c r="R41" s="19"/>
    </row>
    <row r="42" spans="1:18" ht="26.25" customHeight="1" x14ac:dyDescent="0.2">
      <c r="A42" s="17"/>
      <c r="B42" s="67" t="s">
        <v>31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19"/>
    </row>
    <row r="43" spans="1:18" x14ac:dyDescent="0.2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9"/>
    </row>
    <row r="44" spans="1:18" x14ac:dyDescent="0.2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</row>
    <row r="45" spans="1:18" x14ac:dyDescent="0.2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9"/>
    </row>
    <row r="46" spans="1:18" x14ac:dyDescent="0.2">
      <c r="A46" s="17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9"/>
    </row>
    <row r="47" spans="1:18" x14ac:dyDescent="0.2">
      <c r="A47" s="1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9"/>
    </row>
    <row r="48" spans="1:18" x14ac:dyDescent="0.2">
      <c r="A48" s="17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9"/>
    </row>
    <row r="49" spans="1:18" x14ac:dyDescent="0.2">
      <c r="A49" s="17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9"/>
    </row>
    <row r="50" spans="1:18" x14ac:dyDescent="0.2">
      <c r="A50" s="1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9"/>
    </row>
    <row r="51" spans="1:18" x14ac:dyDescent="0.2">
      <c r="A51" s="1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</row>
    <row r="52" spans="1:18" x14ac:dyDescent="0.2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9"/>
    </row>
    <row r="53" spans="1:18" x14ac:dyDescent="0.2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9"/>
    </row>
    <row r="54" spans="1:18" x14ac:dyDescent="0.2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9"/>
    </row>
    <row r="55" spans="1:18" x14ac:dyDescent="0.2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9"/>
    </row>
    <row r="56" spans="1:18" x14ac:dyDescent="0.2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/>
    </row>
    <row r="57" spans="1:18" x14ac:dyDescent="0.2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9"/>
    </row>
    <row r="58" spans="1:18" x14ac:dyDescent="0.2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9"/>
    </row>
    <row r="59" spans="1:18" x14ac:dyDescent="0.2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9"/>
    </row>
    <row r="60" spans="1:18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9"/>
    </row>
    <row r="61" spans="1:18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9"/>
    </row>
    <row r="62" spans="1:18" x14ac:dyDescent="0.2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9"/>
    </row>
    <row r="63" spans="1:18" x14ac:dyDescent="0.2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9"/>
    </row>
    <row r="64" spans="1:18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</row>
    <row r="65" spans="1:18" x14ac:dyDescent="0.2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9"/>
    </row>
    <row r="66" spans="1:18" x14ac:dyDescent="0.2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9"/>
    </row>
    <row r="67" spans="1:18" x14ac:dyDescent="0.2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9"/>
    </row>
    <row r="68" spans="1:18" x14ac:dyDescent="0.2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9"/>
    </row>
    <row r="69" spans="1:18" x14ac:dyDescent="0.2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9"/>
    </row>
    <row r="70" spans="1:18" x14ac:dyDescent="0.2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9"/>
    </row>
    <row r="71" spans="1:18" x14ac:dyDescent="0.2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9"/>
    </row>
    <row r="72" spans="1:18" x14ac:dyDescent="0.2">
      <c r="A72" s="17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9"/>
    </row>
    <row r="73" spans="1:18" x14ac:dyDescent="0.2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9"/>
    </row>
    <row r="74" spans="1:18" x14ac:dyDescent="0.2">
      <c r="A74" s="17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9"/>
    </row>
    <row r="75" spans="1:18" x14ac:dyDescent="0.2">
      <c r="A75" s="17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9"/>
    </row>
    <row r="76" spans="1:18" x14ac:dyDescent="0.2">
      <c r="A76" s="17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9"/>
    </row>
    <row r="77" spans="1:18" x14ac:dyDescent="0.2">
      <c r="A77" s="17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9"/>
    </row>
    <row r="78" spans="1:18" x14ac:dyDescent="0.2">
      <c r="A78" s="17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9"/>
    </row>
    <row r="79" spans="1:18" x14ac:dyDescent="0.2">
      <c r="A79" s="17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9"/>
    </row>
    <row r="80" spans="1:18" x14ac:dyDescent="0.2">
      <c r="A80" s="17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9"/>
    </row>
    <row r="81" spans="1:18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4"/>
    </row>
  </sheetData>
  <mergeCells count="1">
    <mergeCell ref="B42:Q42"/>
  </mergeCells>
  <pageMargins left="0.17" right="0.19" top="0.3" bottom="0.44" header="0.24" footer="0.18"/>
  <pageSetup scale="88" orientation="landscape" r:id="rId1"/>
  <headerFooter alignWithMargins="0">
    <oddFooter>&amp;L&amp;"Times New Roman,Regular"UMSL Fact Book&amp;C&amp;"Times New Roman,Regular"&amp;F&amp;R&amp;"Times New Roman,Regular"Last Updated FY2012</oddFooter>
  </headerFooter>
  <rowBreaks count="1" manualBreakCount="1">
    <brk id="4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$</vt:lpstr>
      <vt:lpstr>'$'!Print_Area</vt:lpstr>
    </vt:vector>
  </TitlesOfParts>
  <Company>University of Missouri - St. Louis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kruegerj</dc:creator>
  <cp:lastModifiedBy>Thaxton, Mary</cp:lastModifiedBy>
  <cp:lastPrinted>2013-11-07T22:37:53Z</cp:lastPrinted>
  <dcterms:created xsi:type="dcterms:W3CDTF">2006-11-21T22:22:39Z</dcterms:created>
  <dcterms:modified xsi:type="dcterms:W3CDTF">2013-11-07T22:37:58Z</dcterms:modified>
</cp:coreProperties>
</file>